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<sst xmlns="http://schemas.openxmlformats.org/spreadsheetml/2006/main" count="4090" uniqueCount="1066">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</sst>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3">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5" t="s">
        <v>309</v>
      </c>
      <c r="B1" s="276"/>
      <c r="C1" s="276"/>
      <c r="D1" s="276"/>
      <c r="E1" s="276"/>
      <c r="F1" s="276"/>
      <c r="G1" s="276"/>
      <c r="H1" s="276"/>
      <c r="I1" s="276"/>
      <c r="J1" s="276"/>
      <c r="K1" s="276"/>
      <c r="L1" s="276"/>
      <c r="M1" s="276"/>
      <c r="N1" s="276"/>
      <c r="O1" s="276"/>
      <c r="P1" s="277"/>
    </row>
    <row r="2" spans="1:16" ht="29.25" customHeight="1" x14ac:dyDescent="0.2">
      <c r="A2" s="269" t="s">
        <v>311</v>
      </c>
      <c r="B2" s="270"/>
      <c r="C2" s="270"/>
      <c r="D2" s="270"/>
      <c r="E2" s="270"/>
      <c r="F2" s="270"/>
      <c r="G2" s="270"/>
      <c r="H2" s="270"/>
      <c r="I2" s="270"/>
      <c r="J2" s="270"/>
      <c r="K2" s="270"/>
      <c r="L2" s="270"/>
      <c r="M2" s="270"/>
      <c r="N2" s="271"/>
      <c r="O2" s="278"/>
      <c r="P2" s="279"/>
    </row>
    <row r="3" spans="1:16" x14ac:dyDescent="0.2">
      <c r="A3" s="269"/>
      <c r="B3" s="270"/>
      <c r="C3" s="270"/>
      <c r="D3" s="270"/>
      <c r="E3" s="270"/>
      <c r="F3" s="270"/>
      <c r="G3" s="270"/>
      <c r="H3" s="270"/>
      <c r="I3" s="270"/>
      <c r="J3" s="270"/>
      <c r="K3" s="270"/>
      <c r="L3" s="270"/>
      <c r="M3" s="270"/>
      <c r="N3" s="271"/>
      <c r="O3" s="280"/>
      <c r="P3" s="281"/>
    </row>
    <row r="4" spans="1:16" x14ac:dyDescent="0.2">
      <c r="A4" s="269"/>
      <c r="B4" s="270"/>
      <c r="C4" s="270"/>
      <c r="D4" s="270"/>
      <c r="E4" s="270"/>
      <c r="F4" s="270"/>
      <c r="G4" s="270"/>
      <c r="H4" s="270"/>
      <c r="I4" s="270"/>
      <c r="J4" s="270"/>
      <c r="K4" s="270"/>
      <c r="L4" s="270"/>
      <c r="M4" s="270"/>
      <c r="N4" s="271"/>
      <c r="O4" s="280"/>
      <c r="P4" s="281"/>
    </row>
    <row r="5" spans="1:16" x14ac:dyDescent="0.2">
      <c r="A5" s="269"/>
      <c r="B5" s="270"/>
      <c r="C5" s="270"/>
      <c r="D5" s="270"/>
      <c r="E5" s="270"/>
      <c r="F5" s="270"/>
      <c r="G5" s="270"/>
      <c r="H5" s="270"/>
      <c r="I5" s="270"/>
      <c r="J5" s="270"/>
      <c r="K5" s="270"/>
      <c r="L5" s="270"/>
      <c r="M5" s="270"/>
      <c r="N5" s="271"/>
      <c r="O5" s="280"/>
      <c r="P5" s="281"/>
    </row>
    <row r="6" spans="1:16" x14ac:dyDescent="0.2">
      <c r="A6" s="269"/>
      <c r="B6" s="270"/>
      <c r="C6" s="270"/>
      <c r="D6" s="270"/>
      <c r="E6" s="270"/>
      <c r="F6" s="270"/>
      <c r="G6" s="270"/>
      <c r="H6" s="270"/>
      <c r="I6" s="270"/>
      <c r="J6" s="270"/>
      <c r="K6" s="270"/>
      <c r="L6" s="270"/>
      <c r="M6" s="270"/>
      <c r="N6" s="271"/>
      <c r="O6" s="280"/>
      <c r="P6" s="281"/>
    </row>
    <row r="7" spans="1:16" ht="18" customHeight="1" thickBot="1" x14ac:dyDescent="0.25">
      <c r="A7" s="272"/>
      <c r="B7" s="273"/>
      <c r="C7" s="273"/>
      <c r="D7" s="273"/>
      <c r="E7" s="273"/>
      <c r="F7" s="273"/>
      <c r="G7" s="273"/>
      <c r="H7" s="273"/>
      <c r="I7" s="273"/>
      <c r="J7" s="273"/>
      <c r="K7" s="273"/>
      <c r="L7" s="273"/>
      <c r="M7" s="273"/>
      <c r="N7" s="274"/>
      <c r="O7" s="282"/>
      <c r="P7" s="283"/>
    </row>
    <row r="8" spans="1:16" ht="18.75" thickBot="1" x14ac:dyDescent="0.25">
      <c r="A8" s="266" t="s">
        <v>307</v>
      </c>
      <c r="B8" s="267"/>
      <c r="C8" s="267"/>
      <c r="D8" s="267"/>
      <c r="E8" s="267"/>
      <c r="F8" s="267"/>
      <c r="G8" s="268"/>
      <c r="H8" s="266" t="s">
        <v>308</v>
      </c>
      <c r="I8" s="267"/>
      <c r="J8" s="267"/>
      <c r="K8" s="267"/>
      <c r="L8" s="267"/>
      <c r="M8" s="267"/>
      <c r="N8" s="267"/>
      <c r="O8" s="267"/>
      <c r="P8" s="268"/>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1" t="s">
        <v>986</v>
      </c>
      <c r="C2" s="312"/>
      <c r="D2" s="312"/>
      <c r="E2" s="312"/>
      <c r="F2" s="312"/>
      <c r="G2" s="313"/>
      <c r="H2" s="135" t="s">
        <v>5</v>
      </c>
      <c r="I2" s="136" t="s">
        <v>2</v>
      </c>
      <c r="J2" s="136" t="s">
        <v>234</v>
      </c>
      <c r="K2" s="134"/>
    </row>
    <row r="3" spans="1:11" ht="59.25" customHeight="1" x14ac:dyDescent="0.2">
      <c r="A3" s="130"/>
      <c r="B3" s="314"/>
      <c r="C3" s="315"/>
      <c r="D3" s="315"/>
      <c r="E3" s="315"/>
      <c r="F3" s="315"/>
      <c r="G3" s="315"/>
      <c r="H3" s="307">
        <f>SUM(H5,H10)</f>
        <v>366684</v>
      </c>
      <c r="I3" s="307">
        <f>SUM(I5,I10)</f>
        <v>75996</v>
      </c>
      <c r="J3" s="309">
        <f>ROUND(I3/H3,5)</f>
        <v>0.20724999999999999</v>
      </c>
      <c r="K3" s="134"/>
    </row>
    <row r="4" spans="1:11" ht="33" customHeight="1" thickBot="1" x14ac:dyDescent="0.25">
      <c r="A4" s="130"/>
      <c r="B4" s="318" t="str">
        <f>"As of: "&amp;TEXT(INDEX(MMWR_DATES[],1,1),"MMMM DD, YYYY")</f>
        <v>As of: December 12, 2015</v>
      </c>
      <c r="C4" s="319"/>
      <c r="D4" s="319"/>
      <c r="E4" s="319"/>
      <c r="F4" s="319"/>
      <c r="G4" s="320"/>
      <c r="H4" s="308"/>
      <c r="I4" s="308"/>
      <c r="J4" s="310"/>
      <c r="K4" s="137"/>
    </row>
    <row r="5" spans="1:11" ht="16.5" customHeight="1" thickBot="1" x14ac:dyDescent="0.25">
      <c r="A5" s="130"/>
      <c r="B5" s="316" t="s">
        <v>239</v>
      </c>
      <c r="C5" s="317"/>
      <c r="D5" s="317"/>
      <c r="E5" s="317"/>
      <c r="F5" s="317"/>
      <c r="G5" s="138" t="s">
        <v>250</v>
      </c>
      <c r="H5" s="159">
        <f>SUM(H6:H9)</f>
        <v>139627</v>
      </c>
      <c r="I5" s="159">
        <f>SUM(I6:I9)</f>
        <v>34398</v>
      </c>
      <c r="J5" s="160">
        <f t="shared" ref="J5:J15" si="0">IF(H5=0, 0,I5/H5)</f>
        <v>0.24635636374053729</v>
      </c>
      <c r="K5" s="134"/>
    </row>
    <row r="6" spans="1:11" ht="16.5" customHeight="1" x14ac:dyDescent="0.2">
      <c r="A6" s="130"/>
      <c r="B6" s="321" t="s">
        <v>16</v>
      </c>
      <c r="C6" s="322"/>
      <c r="D6" s="322"/>
      <c r="E6" s="322"/>
      <c r="F6" s="322"/>
      <c r="G6" s="139" t="s">
        <v>196</v>
      </c>
      <c r="H6" s="161">
        <f>IFERROR(VLOOKUP(MID($G6,4,3),MMWR_TRAD_AGG_NATIONAL[],2,0),0)</f>
        <v>41537</v>
      </c>
      <c r="I6" s="161">
        <f>IFERROR(VLOOKUP(MID($G6,4,3),MMWR_TRAD_AGG_NATIONAL[],3,0),0)</f>
        <v>12616</v>
      </c>
      <c r="J6" s="162">
        <f t="shared" si="0"/>
        <v>0.30372920528685271</v>
      </c>
      <c r="K6" s="134"/>
    </row>
    <row r="7" spans="1:11" ht="16.5" customHeight="1" x14ac:dyDescent="0.2">
      <c r="A7" s="130"/>
      <c r="B7" s="323" t="s">
        <v>0</v>
      </c>
      <c r="C7" s="324"/>
      <c r="D7" s="324"/>
      <c r="E7" s="324"/>
      <c r="F7" s="324"/>
      <c r="G7" s="140" t="s">
        <v>197</v>
      </c>
      <c r="H7" s="161">
        <f>IFERROR(VLOOKUP(MID($G7,4,3),MMWR_TRAD_AGG_NATIONAL[],2,0),0)</f>
        <v>81682</v>
      </c>
      <c r="I7" s="161">
        <f>IFERROR(VLOOKUP(MID($G7,4,3),MMWR_TRAD_AGG_NATIONAL[],3,0),0)</f>
        <v>20101</v>
      </c>
      <c r="J7" s="162">
        <f t="shared" si="0"/>
        <v>0.24608848950809237</v>
      </c>
      <c r="K7" s="134"/>
    </row>
    <row r="8" spans="1:11" ht="16.5" customHeight="1" x14ac:dyDescent="0.2">
      <c r="A8" s="130"/>
      <c r="B8" s="325" t="s">
        <v>240</v>
      </c>
      <c r="C8" s="326"/>
      <c r="D8" s="326"/>
      <c r="E8" s="326"/>
      <c r="F8" s="326"/>
      <c r="G8" s="141" t="s">
        <v>199</v>
      </c>
      <c r="H8" s="161">
        <f>IFERROR(VLOOKUP(MID($G8,4,3),MMWR_TRAD_AGG_NATIONAL[],2,0),0)</f>
        <v>8451</v>
      </c>
      <c r="I8" s="161">
        <f>IFERROR(VLOOKUP(MID($G8,4,3),MMWR_TRAD_AGG_NATIONAL[],3,0),0)</f>
        <v>377</v>
      </c>
      <c r="J8" s="162">
        <f t="shared" si="0"/>
        <v>4.4610105312980715E-2</v>
      </c>
      <c r="K8" s="134"/>
    </row>
    <row r="9" spans="1:11" ht="16.5" customHeight="1" thickBot="1" x14ac:dyDescent="0.25">
      <c r="A9" s="130"/>
      <c r="B9" s="327" t="s">
        <v>17</v>
      </c>
      <c r="C9" s="328"/>
      <c r="D9" s="328"/>
      <c r="E9" s="328"/>
      <c r="F9" s="328"/>
      <c r="G9" s="140" t="s">
        <v>201</v>
      </c>
      <c r="H9" s="161">
        <f>IFERROR(VLOOKUP(MID($G9,4,3),MMWR_TRAD_AGG_NATIONAL[],2,0),0)</f>
        <v>7957</v>
      </c>
      <c r="I9" s="161">
        <f>IFERROR(VLOOKUP(MID($G9,4,3),MMWR_TRAD_AGG_NATIONAL[],3,0),0)</f>
        <v>1304</v>
      </c>
      <c r="J9" s="162">
        <f t="shared" si="0"/>
        <v>0.16388085962045998</v>
      </c>
      <c r="K9" s="134"/>
    </row>
    <row r="10" spans="1:11" ht="17.25" thickBot="1" x14ac:dyDescent="0.25">
      <c r="A10" s="130"/>
      <c r="B10" s="316" t="s">
        <v>1</v>
      </c>
      <c r="C10" s="317"/>
      <c r="D10" s="317"/>
      <c r="E10" s="317"/>
      <c r="F10" s="317"/>
      <c r="G10" s="138" t="s">
        <v>250</v>
      </c>
      <c r="H10" s="159">
        <f>SUM(H11:H18)</f>
        <v>227057</v>
      </c>
      <c r="I10" s="159">
        <f>SUM(I11:I18)</f>
        <v>41598</v>
      </c>
      <c r="J10" s="160">
        <f t="shared" si="0"/>
        <v>0.18320509827928669</v>
      </c>
      <c r="K10" s="134"/>
    </row>
    <row r="11" spans="1:11" ht="16.5" customHeight="1" x14ac:dyDescent="0.2">
      <c r="A11" s="130"/>
      <c r="B11" s="321" t="s">
        <v>205</v>
      </c>
      <c r="C11" s="322"/>
      <c r="D11" s="322"/>
      <c r="E11" s="322"/>
      <c r="F11" s="322"/>
      <c r="G11" s="142" t="s">
        <v>200</v>
      </c>
      <c r="H11" s="163">
        <f>IFERROR(VLOOKUP(MID($G11,4,3),MMWR_TRAD_AGG_NATIONAL[],2,0),0)</f>
        <v>7937</v>
      </c>
      <c r="I11" s="161">
        <f>IFERROR(VLOOKUP(MID($G11,4,3),MMWR_TRAD_AGG_NATIONAL[],3,0),0)</f>
        <v>309</v>
      </c>
      <c r="J11" s="162">
        <f t="shared" si="0"/>
        <v>3.8931586241653014E-2</v>
      </c>
      <c r="K11" s="134"/>
    </row>
    <row r="12" spans="1:11" ht="16.5" customHeight="1" x14ac:dyDescent="0.2">
      <c r="A12" s="130"/>
      <c r="B12" s="323" t="s">
        <v>18</v>
      </c>
      <c r="C12" s="324"/>
      <c r="D12" s="324"/>
      <c r="E12" s="324"/>
      <c r="F12" s="324"/>
      <c r="G12" s="143" t="s">
        <v>198</v>
      </c>
      <c r="H12" s="164">
        <f>IFERROR(VLOOKUP(MID($G12,4,3),MMWR_TRAD_AGG_NATIONAL[],2,0),0)</f>
        <v>202560</v>
      </c>
      <c r="I12" s="161">
        <f>IFERROR(VLOOKUP(MID($G12,4,3),MMWR_TRAD_AGG_NATIONAL[],3,0),0)</f>
        <v>39124</v>
      </c>
      <c r="J12" s="162">
        <f t="shared" si="0"/>
        <v>0.19314770932069511</v>
      </c>
      <c r="K12" s="134"/>
    </row>
    <row r="13" spans="1:11" ht="16.5" customHeight="1" x14ac:dyDescent="0.2">
      <c r="A13" s="130"/>
      <c r="B13" s="323" t="s">
        <v>14</v>
      </c>
      <c r="C13" s="324"/>
      <c r="D13" s="324"/>
      <c r="E13" s="324"/>
      <c r="F13" s="324"/>
      <c r="G13" s="143" t="s">
        <v>202</v>
      </c>
      <c r="H13" s="164">
        <f>IFERROR(VLOOKUP(MID($G13,4,3),MMWR_TRAD_AGG_NATIONAL[],2,0),0)</f>
        <v>16016</v>
      </c>
      <c r="I13" s="161">
        <f>IFERROR(VLOOKUP(MID($G13,4,3),MMWR_TRAD_AGG_NATIONAL[],3,0),0)</f>
        <v>2023</v>
      </c>
      <c r="J13" s="162">
        <f t="shared" si="0"/>
        <v>0.1263111888111888</v>
      </c>
      <c r="K13" s="134"/>
    </row>
    <row r="14" spans="1:11" ht="16.5" customHeight="1" x14ac:dyDescent="0.2">
      <c r="A14" s="130"/>
      <c r="B14" s="325" t="s">
        <v>19</v>
      </c>
      <c r="C14" s="326"/>
      <c r="D14" s="326"/>
      <c r="E14" s="326"/>
      <c r="F14" s="326"/>
      <c r="G14" s="142" t="s">
        <v>203</v>
      </c>
      <c r="H14" s="164">
        <f>IFERROR(VLOOKUP(MID($G14,4,3),MMWR_TRAD_AGG_NATIONAL[],2,0),0)</f>
        <v>526</v>
      </c>
      <c r="I14" s="161">
        <f>IFERROR(VLOOKUP(MID($G14,4,3),MMWR_TRAD_AGG_NATIONAL[],3,0),0)</f>
        <v>134</v>
      </c>
      <c r="J14" s="162">
        <f t="shared" si="0"/>
        <v>0.25475285171102663</v>
      </c>
      <c r="K14" s="134"/>
    </row>
    <row r="15" spans="1:11" ht="16.5" customHeight="1" x14ac:dyDescent="0.2">
      <c r="A15" s="130"/>
      <c r="B15" s="325" t="s">
        <v>87</v>
      </c>
      <c r="C15" s="326"/>
      <c r="D15" s="326"/>
      <c r="E15" s="326"/>
      <c r="F15" s="326"/>
      <c r="G15" s="142" t="s">
        <v>206</v>
      </c>
      <c r="H15" s="164">
        <f>IFERROR(VLOOKUP(MID($G15,4,3),MMWR_TRAD_AGG_NATIONAL[],2,0),0)</f>
        <v>10</v>
      </c>
      <c r="I15" s="161">
        <f>IFERROR(VLOOKUP(MID($G15,4,3),MMWR_TRAD_AGG_NATIONAL[],3,0),0)</f>
        <v>4</v>
      </c>
      <c r="J15" s="162">
        <f t="shared" si="0"/>
        <v>0.4</v>
      </c>
      <c r="K15" s="134"/>
    </row>
    <row r="16" spans="1:11" ht="15" x14ac:dyDescent="0.2">
      <c r="A16" s="130"/>
      <c r="B16" s="325" t="s">
        <v>88</v>
      </c>
      <c r="C16" s="326"/>
      <c r="D16" s="326"/>
      <c r="E16" s="326"/>
      <c r="F16" s="326"/>
      <c r="G16" s="142" t="s">
        <v>207</v>
      </c>
      <c r="H16" s="164">
        <f>IFERROR(VLOOKUP(MID($G16,4,3),MMWR_TRAD_AGG_NATIONAL[],2,0),0)</f>
        <v>1</v>
      </c>
      <c r="I16" s="161">
        <f>IFERROR(VLOOKUP(MID($G16,4,3),MMWR_TRAD_AGG_NATIONAL[],3,0),0)</f>
        <v>0</v>
      </c>
      <c r="J16" s="162">
        <f>IF(H16=0, 0,I16/H16)</f>
        <v>0</v>
      </c>
      <c r="K16" s="134"/>
    </row>
    <row r="17" spans="1:11" ht="16.5" customHeight="1" x14ac:dyDescent="0.2">
      <c r="A17" s="130"/>
      <c r="B17" s="325" t="s">
        <v>90</v>
      </c>
      <c r="C17" s="326"/>
      <c r="D17" s="326"/>
      <c r="E17" s="326"/>
      <c r="F17" s="326"/>
      <c r="G17" s="142" t="s">
        <v>208</v>
      </c>
      <c r="H17" s="164">
        <f>IFERROR(VLOOKUP(MID($G17,4,3),MMWR_TRAD_AGG_NATIONAL[],2,0),0)</f>
        <v>3</v>
      </c>
      <c r="I17" s="161">
        <f>IFERROR(VLOOKUP(MID($G17,4,3),MMWR_TRAD_AGG_NATIONAL[],3,0),0)</f>
        <v>1</v>
      </c>
      <c r="J17" s="162">
        <f>IF(H17=0, 0,I17/H17)</f>
        <v>0.33333333333333331</v>
      </c>
      <c r="K17" s="134"/>
    </row>
    <row r="18" spans="1:11" ht="16.5" customHeight="1" thickBot="1" x14ac:dyDescent="0.25">
      <c r="A18" s="130"/>
      <c r="B18" s="327" t="s">
        <v>89</v>
      </c>
      <c r="C18" s="328"/>
      <c r="D18" s="328"/>
      <c r="E18" s="328"/>
      <c r="F18" s="328"/>
      <c r="G18" s="142" t="s">
        <v>209</v>
      </c>
      <c r="H18" s="165">
        <f>IFERROR(VLOOKUP(MID($G18,4,3),MMWR_TRAD_AGG_NATIONAL[],2,0),0)</f>
        <v>4</v>
      </c>
      <c r="I18" s="161">
        <f>IFERROR(VLOOKUP(MID($G18,4,3),MMWR_TRAD_AGG_NATIONAL[],3,0),0)</f>
        <v>3</v>
      </c>
      <c r="J18" s="166">
        <f>IF(H18=0, 0,I18/H18)</f>
        <v>0.75</v>
      </c>
      <c r="K18" s="134"/>
    </row>
    <row r="19" spans="1:11" ht="16.5" customHeight="1" x14ac:dyDescent="0.2">
      <c r="A19" s="130"/>
      <c r="B19" s="332" t="s">
        <v>976</v>
      </c>
      <c r="C19" s="333"/>
      <c r="D19" s="333"/>
      <c r="E19" s="333"/>
      <c r="F19" s="333"/>
      <c r="G19" s="333"/>
      <c r="H19" s="333"/>
      <c r="I19" s="333"/>
      <c r="J19" s="334"/>
      <c r="K19" s="134"/>
    </row>
    <row r="20" spans="1:11" ht="36" customHeight="1" thickBot="1" x14ac:dyDescent="0.25">
      <c r="A20" s="130"/>
      <c r="B20" s="335"/>
      <c r="C20" s="336"/>
      <c r="D20" s="336"/>
      <c r="E20" s="336"/>
      <c r="F20" s="336"/>
      <c r="G20" s="336"/>
      <c r="H20" s="336"/>
      <c r="I20" s="336"/>
      <c r="J20" s="337"/>
      <c r="K20" s="134"/>
    </row>
    <row r="21" spans="1:11" ht="36" customHeight="1" x14ac:dyDescent="0.2">
      <c r="A21" s="130"/>
      <c r="B21" s="284" t="s">
        <v>967</v>
      </c>
      <c r="C21" s="285"/>
      <c r="D21" s="286"/>
      <c r="E21" s="284" t="s">
        <v>968</v>
      </c>
      <c r="F21" s="285"/>
      <c r="G21" s="286"/>
      <c r="H21" s="284" t="s">
        <v>969</v>
      </c>
      <c r="I21" s="285"/>
      <c r="J21" s="286"/>
      <c r="K21" s="134"/>
    </row>
    <row r="22" spans="1:11" ht="29.25" customHeight="1" thickBot="1" x14ac:dyDescent="0.25">
      <c r="A22" s="130"/>
      <c r="B22" s="287"/>
      <c r="C22" s="288"/>
      <c r="D22" s="289"/>
      <c r="E22" s="287"/>
      <c r="F22" s="288"/>
      <c r="G22" s="289"/>
      <c r="H22" s="287"/>
      <c r="I22" s="288"/>
      <c r="J22" s="289"/>
      <c r="K22" s="134"/>
    </row>
    <row r="23" spans="1:11" ht="36" customHeight="1" x14ac:dyDescent="0.35">
      <c r="A23" s="130"/>
      <c r="B23" s="284" t="s">
        <v>961</v>
      </c>
      <c r="C23" s="285"/>
      <c r="D23" s="286"/>
      <c r="E23" s="284" t="s">
        <v>962</v>
      </c>
      <c r="F23" s="285"/>
      <c r="G23" s="286"/>
      <c r="H23" s="144"/>
      <c r="I23" s="144"/>
      <c r="J23" s="144"/>
      <c r="K23" s="134"/>
    </row>
    <row r="24" spans="1:11" ht="29.25" customHeight="1" thickBot="1" x14ac:dyDescent="0.4">
      <c r="A24" s="130"/>
      <c r="B24" s="287"/>
      <c r="C24" s="288"/>
      <c r="D24" s="289"/>
      <c r="E24" s="287"/>
      <c r="F24" s="288"/>
      <c r="G24" s="289"/>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5"/>
      <c r="D26" s="305"/>
      <c r="E26" s="305"/>
      <c r="F26" s="306"/>
      <c r="G26" s="264" t="s">
        <v>28</v>
      </c>
      <c r="H26" s="264" t="s">
        <v>29</v>
      </c>
      <c r="I26" s="264" t="s">
        <v>30</v>
      </c>
      <c r="J26" s="265" t="s">
        <v>31</v>
      </c>
      <c r="K26" s="134"/>
    </row>
    <row r="27" spans="1:11" ht="16.5" customHeight="1" x14ac:dyDescent="0.2">
      <c r="A27" s="130"/>
      <c r="B27" s="302" t="s">
        <v>970</v>
      </c>
      <c r="C27" s="303"/>
      <c r="D27" s="303"/>
      <c r="E27" s="303"/>
      <c r="F27" s="304"/>
      <c r="G27" s="257">
        <v>5831</v>
      </c>
      <c r="H27" s="257">
        <v>5211</v>
      </c>
      <c r="I27" s="257">
        <v>620</v>
      </c>
      <c r="J27" s="261">
        <v>0.11899999999999999</v>
      </c>
      <c r="K27" s="134"/>
    </row>
    <row r="28" spans="1:11" ht="15" x14ac:dyDescent="0.2">
      <c r="A28" s="130"/>
      <c r="B28" s="290" t="s">
        <v>24</v>
      </c>
      <c r="C28" s="291"/>
      <c r="D28" s="291"/>
      <c r="E28" s="291"/>
      <c r="F28" s="292"/>
      <c r="G28" s="258">
        <v>1169</v>
      </c>
      <c r="H28" s="258">
        <v>1128</v>
      </c>
      <c r="I28" s="258">
        <v>41</v>
      </c>
      <c r="J28" s="254">
        <v>3.5999999999999997E-2</v>
      </c>
      <c r="K28" s="134"/>
    </row>
    <row r="29" spans="1:11" ht="15" x14ac:dyDescent="0.2">
      <c r="A29" s="130"/>
      <c r="B29" s="293" t="s">
        <v>25</v>
      </c>
      <c r="C29" s="294"/>
      <c r="D29" s="294"/>
      <c r="E29" s="294"/>
      <c r="F29" s="295"/>
      <c r="G29" s="259">
        <v>664</v>
      </c>
      <c r="H29" s="259">
        <v>522</v>
      </c>
      <c r="I29" s="259">
        <v>142</v>
      </c>
      <c r="J29" s="255">
        <v>0.27200000000000002</v>
      </c>
      <c r="K29" s="134"/>
    </row>
    <row r="30" spans="1:11" ht="15" x14ac:dyDescent="0.2">
      <c r="A30" s="130"/>
      <c r="B30" s="296" t="s">
        <v>26</v>
      </c>
      <c r="C30" s="297"/>
      <c r="D30" s="297"/>
      <c r="E30" s="297"/>
      <c r="F30" s="298"/>
      <c r="G30" s="259">
        <v>1478</v>
      </c>
      <c r="H30" s="259">
        <v>1363</v>
      </c>
      <c r="I30" s="259">
        <v>115</v>
      </c>
      <c r="J30" s="255">
        <v>8.4000000000000005E-2</v>
      </c>
      <c r="K30" s="134"/>
    </row>
    <row r="31" spans="1:11" ht="15" x14ac:dyDescent="0.2">
      <c r="A31" s="130"/>
      <c r="B31" s="299" t="s">
        <v>27</v>
      </c>
      <c r="C31" s="300"/>
      <c r="D31" s="300"/>
      <c r="E31" s="300"/>
      <c r="F31" s="301"/>
      <c r="G31" s="260">
        <v>2520</v>
      </c>
      <c r="H31" s="260">
        <v>2198</v>
      </c>
      <c r="I31" s="260">
        <v>322</v>
      </c>
      <c r="J31" s="256">
        <v>0.14599999999999999</v>
      </c>
      <c r="K31" s="134"/>
    </row>
    <row r="32" spans="1:11" ht="16.5" customHeight="1" x14ac:dyDescent="0.2">
      <c r="A32" s="130"/>
      <c r="B32" s="302" t="s">
        <v>241</v>
      </c>
      <c r="C32" s="303"/>
      <c r="D32" s="303"/>
      <c r="E32" s="303"/>
      <c r="F32" s="304"/>
      <c r="G32" s="257">
        <v>46744</v>
      </c>
      <c r="H32" s="257">
        <v>35319</v>
      </c>
      <c r="I32" s="257">
        <v>11425</v>
      </c>
      <c r="J32" s="261">
        <v>0.32300000000000001</v>
      </c>
      <c r="K32" s="134"/>
    </row>
    <row r="33" spans="1:11" ht="15" x14ac:dyDescent="0.2">
      <c r="A33" s="130"/>
      <c r="B33" s="290" t="s">
        <v>24</v>
      </c>
      <c r="C33" s="291"/>
      <c r="D33" s="291"/>
      <c r="E33" s="291"/>
      <c r="F33" s="292"/>
      <c r="G33" s="258">
        <v>8906</v>
      </c>
      <c r="H33" s="258">
        <v>5762</v>
      </c>
      <c r="I33" s="258">
        <v>3144</v>
      </c>
      <c r="J33" s="254">
        <v>0.54600000000000004</v>
      </c>
      <c r="K33" s="134"/>
    </row>
    <row r="34" spans="1:11" ht="15" x14ac:dyDescent="0.2">
      <c r="A34" s="130"/>
      <c r="B34" s="293" t="s">
        <v>25</v>
      </c>
      <c r="C34" s="294"/>
      <c r="D34" s="294"/>
      <c r="E34" s="294"/>
      <c r="F34" s="295"/>
      <c r="G34" s="259">
        <v>5647</v>
      </c>
      <c r="H34" s="259">
        <v>4307</v>
      </c>
      <c r="I34" s="259">
        <v>1340</v>
      </c>
      <c r="J34" s="255">
        <v>0.311</v>
      </c>
      <c r="K34" s="134"/>
    </row>
    <row r="35" spans="1:11" ht="15" x14ac:dyDescent="0.2">
      <c r="A35" s="130"/>
      <c r="B35" s="296" t="s">
        <v>26</v>
      </c>
      <c r="C35" s="297"/>
      <c r="D35" s="297"/>
      <c r="E35" s="297"/>
      <c r="F35" s="298"/>
      <c r="G35" s="259">
        <v>16897</v>
      </c>
      <c r="H35" s="259">
        <v>11459</v>
      </c>
      <c r="I35" s="259">
        <v>5438</v>
      </c>
      <c r="J35" s="255">
        <v>0.47499999999999998</v>
      </c>
      <c r="K35" s="134"/>
    </row>
    <row r="36" spans="1:11" ht="15.75" thickBot="1" x14ac:dyDescent="0.25">
      <c r="A36" s="130"/>
      <c r="B36" s="338" t="s">
        <v>27</v>
      </c>
      <c r="C36" s="339"/>
      <c r="D36" s="339"/>
      <c r="E36" s="339"/>
      <c r="F36" s="340"/>
      <c r="G36" s="259">
        <v>15294</v>
      </c>
      <c r="H36" s="259">
        <v>13791</v>
      </c>
      <c r="I36" s="259">
        <v>1503</v>
      </c>
      <c r="J36" s="255">
        <v>0.109</v>
      </c>
      <c r="K36" s="134"/>
    </row>
    <row r="37" spans="1:11" ht="15.75" customHeight="1" thickBot="1" x14ac:dyDescent="0.25">
      <c r="A37" s="130"/>
      <c r="B37" s="329" t="s">
        <v>975</v>
      </c>
      <c r="C37" s="330"/>
      <c r="D37" s="330"/>
      <c r="E37" s="330"/>
      <c r="F37" s="330"/>
      <c r="G37" s="330"/>
      <c r="H37" s="330"/>
      <c r="I37" s="330"/>
      <c r="J37" s="33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6" t="s">
        <v>301</v>
      </c>
      <c r="D2" s="357"/>
      <c r="E2" s="357"/>
      <c r="F2" s="357"/>
      <c r="G2" s="357"/>
      <c r="H2" s="357"/>
      <c r="I2" s="357"/>
      <c r="J2" s="357"/>
      <c r="K2" s="358"/>
      <c r="L2" s="356" t="s">
        <v>306</v>
      </c>
      <c r="M2" s="357"/>
      <c r="N2" s="357"/>
      <c r="O2" s="358"/>
      <c r="P2" s="28"/>
    </row>
    <row r="3" spans="1:16" ht="24" customHeight="1" thickBot="1" x14ac:dyDescent="0.4">
      <c r="A3" s="25"/>
      <c r="B3" s="29"/>
      <c r="C3" s="359"/>
      <c r="D3" s="360"/>
      <c r="E3" s="360"/>
      <c r="F3" s="360"/>
      <c r="G3" s="360"/>
      <c r="H3" s="360"/>
      <c r="I3" s="360"/>
      <c r="J3" s="360"/>
      <c r="K3" s="361"/>
      <c r="L3" s="359" t="str">
        <f>Transformation!B4</f>
        <v>As of: December 12, 2015</v>
      </c>
      <c r="M3" s="360"/>
      <c r="N3" s="360"/>
      <c r="O3" s="361"/>
      <c r="P3" s="28"/>
    </row>
    <row r="4" spans="1:16" ht="51.75" customHeight="1" thickBot="1" x14ac:dyDescent="0.35">
      <c r="A4" s="30"/>
      <c r="B4" s="247" t="s">
        <v>462</v>
      </c>
      <c r="C4" s="362" t="s">
        <v>310</v>
      </c>
      <c r="D4" s="363"/>
      <c r="E4" s="363"/>
      <c r="F4" s="363"/>
      <c r="G4" s="363"/>
      <c r="H4" s="363"/>
      <c r="I4" s="363"/>
      <c r="J4" s="363"/>
      <c r="K4" s="363"/>
      <c r="L4" s="363"/>
      <c r="M4" s="363"/>
      <c r="N4" s="363"/>
      <c r="O4" s="364"/>
      <c r="P4" s="28"/>
    </row>
    <row r="5" spans="1:16" ht="27" customHeight="1" thickBot="1" x14ac:dyDescent="0.25">
      <c r="A5" s="30"/>
      <c r="B5" s="26"/>
      <c r="C5" s="365" t="s">
        <v>1049</v>
      </c>
      <c r="D5" s="366"/>
      <c r="E5" s="366"/>
      <c r="F5" s="366"/>
      <c r="G5" s="366"/>
      <c r="H5" s="366"/>
      <c r="I5" s="366"/>
      <c r="J5" s="366"/>
      <c r="K5" s="366"/>
      <c r="L5" s="366"/>
      <c r="M5" s="366"/>
      <c r="N5" s="366"/>
      <c r="O5" s="367"/>
      <c r="P5" s="28"/>
    </row>
    <row r="6" spans="1:16" ht="55.5" customHeight="1" x14ac:dyDescent="0.2">
      <c r="A6" s="30"/>
      <c r="B6" s="31"/>
      <c r="C6" s="32" t="s">
        <v>196</v>
      </c>
      <c r="D6" s="368" t="s">
        <v>16</v>
      </c>
      <c r="E6" s="369"/>
      <c r="F6" s="33" t="s">
        <v>199</v>
      </c>
      <c r="G6" s="368" t="s">
        <v>204</v>
      </c>
      <c r="H6" s="370"/>
      <c r="I6" s="33" t="s">
        <v>202</v>
      </c>
      <c r="J6" s="374" t="s">
        <v>14</v>
      </c>
      <c r="K6" s="375"/>
      <c r="L6" s="33" t="s">
        <v>207</v>
      </c>
      <c r="M6" s="371" t="s">
        <v>88</v>
      </c>
      <c r="N6" s="372"/>
      <c r="O6" s="373"/>
      <c r="P6" s="28"/>
    </row>
    <row r="7" spans="1:16" ht="51.75" customHeight="1" x14ac:dyDescent="0.2">
      <c r="A7" s="30"/>
      <c r="B7" s="34"/>
      <c r="C7" s="35" t="s">
        <v>197</v>
      </c>
      <c r="D7" s="344" t="s">
        <v>0</v>
      </c>
      <c r="E7" s="345"/>
      <c r="F7" s="36" t="s">
        <v>200</v>
      </c>
      <c r="G7" s="346" t="s">
        <v>205</v>
      </c>
      <c r="H7" s="346"/>
      <c r="I7" s="36" t="s">
        <v>203</v>
      </c>
      <c r="J7" s="376" t="s">
        <v>19</v>
      </c>
      <c r="K7" s="377"/>
      <c r="L7" s="36" t="s">
        <v>208</v>
      </c>
      <c r="M7" s="380" t="s">
        <v>90</v>
      </c>
      <c r="N7" s="381"/>
      <c r="O7" s="382"/>
      <c r="P7" s="28"/>
    </row>
    <row r="8" spans="1:16" ht="51.75" customHeight="1" thickBot="1" x14ac:dyDescent="0.25">
      <c r="A8" s="25"/>
      <c r="B8" s="28"/>
      <c r="C8" s="37" t="s">
        <v>198</v>
      </c>
      <c r="D8" s="347" t="s">
        <v>18</v>
      </c>
      <c r="E8" s="348"/>
      <c r="F8" s="38" t="s">
        <v>201</v>
      </c>
      <c r="G8" s="349" t="s">
        <v>17</v>
      </c>
      <c r="H8" s="349"/>
      <c r="I8" s="38" t="s">
        <v>206</v>
      </c>
      <c r="J8" s="378" t="s">
        <v>87</v>
      </c>
      <c r="K8" s="379"/>
      <c r="L8" s="38" t="s">
        <v>209</v>
      </c>
      <c r="M8" s="353" t="s">
        <v>89</v>
      </c>
      <c r="N8" s="354"/>
      <c r="O8" s="355"/>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50" t="s">
        <v>299</v>
      </c>
      <c r="D10" s="350"/>
      <c r="E10" s="350"/>
      <c r="F10" s="350"/>
      <c r="G10" s="350"/>
      <c r="H10" s="350"/>
      <c r="I10" s="350"/>
      <c r="J10" s="350"/>
      <c r="K10" s="350"/>
      <c r="L10" s="350"/>
      <c r="M10" s="350"/>
      <c r="N10" s="350"/>
      <c r="O10" s="350"/>
      <c r="P10" s="28"/>
    </row>
    <row r="11" spans="1:16" ht="32.25" customHeight="1" x14ac:dyDescent="0.2">
      <c r="A11" s="25"/>
      <c r="B11" s="26"/>
      <c r="C11" s="351" t="s">
        <v>232</v>
      </c>
      <c r="D11" s="351" t="s">
        <v>140</v>
      </c>
      <c r="E11" s="351" t="s">
        <v>233</v>
      </c>
      <c r="F11" s="351" t="s">
        <v>195</v>
      </c>
      <c r="G11" s="351" t="s">
        <v>210</v>
      </c>
      <c r="H11" s="351" t="s">
        <v>212</v>
      </c>
      <c r="I11" s="351" t="s">
        <v>213</v>
      </c>
      <c r="J11" s="385" t="s">
        <v>1061</v>
      </c>
      <c r="K11" s="385" t="s">
        <v>1062</v>
      </c>
      <c r="L11" s="383" t="s">
        <v>1059</v>
      </c>
      <c r="M11" s="384"/>
      <c r="N11" s="383" t="s">
        <v>1060</v>
      </c>
      <c r="O11" s="384"/>
      <c r="P11" s="28"/>
    </row>
    <row r="12" spans="1:16" ht="32.25" customHeight="1" x14ac:dyDescent="0.2">
      <c r="A12" s="25"/>
      <c r="B12" s="26"/>
      <c r="C12" s="352"/>
      <c r="D12" s="352"/>
      <c r="E12" s="352"/>
      <c r="F12" s="352"/>
      <c r="G12" s="352"/>
      <c r="H12" s="352"/>
      <c r="I12" s="352"/>
      <c r="J12" s="386"/>
      <c r="K12" s="386"/>
      <c r="L12" s="40" t="s">
        <v>933</v>
      </c>
      <c r="M12" s="40" t="s">
        <v>938</v>
      </c>
      <c r="N12" s="40" t="s">
        <v>933</v>
      </c>
      <c r="O12" s="40" t="s">
        <v>938</v>
      </c>
      <c r="P12" s="28"/>
    </row>
    <row r="13" spans="1:16" x14ac:dyDescent="0.2">
      <c r="A13" s="25"/>
      <c r="B13" s="41" t="s">
        <v>1057</v>
      </c>
      <c r="C13" s="154">
        <f>IF($B13=" ","",IFERROR(INDEX(MMWR_RATING_RO_ROLLUP[],MATCH($B13,MMWR_RATING_RO_ROLLUP[MMWR_RATING_RO_ROLLUP],0),MATCH(C$9,MMWR_RATING_RO_ROLLUP[#Headers],0)),"ERROR"))</f>
        <v>366684</v>
      </c>
      <c r="D13" s="155">
        <f>IF($B13=" ","",IFERROR(INDEX(MMWR_RATING_RO_ROLLUP[],MATCH($B13,MMWR_RATING_RO_ROLLUP[MMWR_RATING_RO_ROLLUP],0),MATCH(D$9,MMWR_RATING_RO_ROLLUP[#Headers],0)),"ERROR"))</f>
        <v>90.240444088100006</v>
      </c>
      <c r="E13" s="156">
        <f>IF($B13=" ","",IFERROR(INDEX(MMWR_RATING_RO_ROLLUP[],MATCH($B13,MMWR_RATING_RO_ROLLUP[MMWR_RATING_RO_ROLLUP],0),MATCH(E$9,MMWR_RATING_RO_ROLLUP[#Headers],0))/$C13,"ERROR"))</f>
        <v>0.20725202081356153</v>
      </c>
      <c r="F13" s="154">
        <f>IF($B13=" ","",IFERROR(INDEX(MMWR_RATING_RO_ROLLUP[],MATCH($B13,MMWR_RATING_RO_ROLLUP[MMWR_RATING_RO_ROLLUP],0),MATCH(F$9,MMWR_RATING_RO_ROLLUP[#Headers],0)),"ERROR"))</f>
        <v>43689</v>
      </c>
      <c r="G13" s="154">
        <f>IF($B13=" ","",IFERROR(INDEX(MMWR_RATING_RO_ROLLUP[],MATCH($B13,MMWR_RATING_RO_ROLLUP[MMWR_RATING_RO_ROLLUP],0),MATCH(G$9,MMWR_RATING_RO_ROLLUP[#Headers],0)),"ERROR"))</f>
        <v>247328</v>
      </c>
      <c r="H13" s="155">
        <f>IF($B13=" ","",IFERROR(INDEX(MMWR_RATING_RO_ROLLUP[],MATCH($B13,MMWR_RATING_RO_ROLLUP[MMWR_RATING_RO_ROLLUP],0),MATCH(H$9,MMWR_RATING_RO_ROLLUP[#Headers],0)),"ERROR"))</f>
        <v>129.19245118910001</v>
      </c>
      <c r="I13" s="155">
        <f>IF($B13=" ","",IFERROR(INDEX(MMWR_RATING_RO_ROLLUP[],MATCH($B13,MMWR_RATING_RO_ROLLUP[MMWR_RATING_RO_ROLLUP],0),MATCH(I$9,MMWR_RATING_RO_ROLLUP[#Headers],0)),"ERROR"))</f>
        <v>128.361709956</v>
      </c>
      <c r="J13" s="42"/>
      <c r="K13" s="42"/>
      <c r="L13" s="42"/>
      <c r="M13" s="42"/>
      <c r="N13" s="42"/>
      <c r="O13" s="42"/>
      <c r="P13" s="28"/>
    </row>
    <row r="14" spans="1:16" x14ac:dyDescent="0.2">
      <c r="A14" s="25"/>
      <c r="B14" s="342" t="s">
        <v>739</v>
      </c>
      <c r="C14" s="343"/>
      <c r="D14" s="343"/>
      <c r="E14" s="343"/>
      <c r="F14" s="343"/>
      <c r="G14" s="343"/>
      <c r="H14" s="343"/>
      <c r="I14" s="343"/>
      <c r="J14" s="343"/>
      <c r="K14" s="343"/>
      <c r="L14" s="343"/>
      <c r="M14" s="343"/>
      <c r="N14" s="343"/>
      <c r="O14" s="343"/>
      <c r="P14" s="28"/>
    </row>
    <row r="15" spans="1:16" x14ac:dyDescent="0.2">
      <c r="A15" s="25"/>
      <c r="B15" s="41" t="s">
        <v>735</v>
      </c>
      <c r="C15" s="154">
        <f>IF($B15=" ","",IFERROR(INDEX(MMWR_RATING_RO_ROLLUP[],MATCH($B15,MMWR_RATING_RO_ROLLUP[MMWR_RATING_RO_ROLLUP],0),MATCH(C$9,MMWR_RATING_RO_ROLLUP[#Headers],0)),"ERROR"))</f>
        <v>317877</v>
      </c>
      <c r="D15" s="155">
        <f>IF($B15=" ","",IFERROR(INDEX(MMWR_RATING_RO_ROLLUP[],MATCH($B15,MMWR_RATING_RO_ROLLUP[MMWR_RATING_RO_ROLLUP],0),MATCH(D$9,MMWR_RATING_RO_ROLLUP[#Headers],0)),"ERROR"))</f>
        <v>93.061268981400005</v>
      </c>
      <c r="E15" s="156">
        <f>IF($B15=" ","",IFERROR(INDEX(MMWR_RATING_RO_ROLLUP[],MATCH($B15,MMWR_RATING_RO_ROLLUP[MMWR_RATING_RO_ROLLUP],0),MATCH(E$9,MMWR_RATING_RO_ROLLUP[#Headers],0))/$C15,"ERROR"))</f>
        <v>0.21838321111624936</v>
      </c>
      <c r="F15" s="154">
        <f>IF($B15=" ","",IFERROR(INDEX(MMWR_RATING_RO_ROLLUP[],MATCH($B15,MMWR_RATING_RO_ROLLUP[MMWR_RATING_RO_ROLLUP],0),MATCH(F$9,MMWR_RATING_RO_ROLLUP[#Headers],0)),"ERROR"))</f>
        <v>37034</v>
      </c>
      <c r="G15" s="154">
        <f>IF($B15=" ","",IFERROR(INDEX(MMWR_RATING_RO_ROLLUP[],MATCH($B15,MMWR_RATING_RO_ROLLUP[MMWR_RATING_RO_ROLLUP],0),MATCH(G$9,MMWR_RATING_RO_ROLLUP[#Headers],0)),"ERROR"))</f>
        <v>210534</v>
      </c>
      <c r="H15" s="155">
        <f>IF($B15=" ","",IFERROR(INDEX(MMWR_RATING_RO_ROLLUP[],MATCH($B15,MMWR_RATING_RO_ROLLUP[MMWR_RATING_RO_ROLLUP],0),MATCH(H$9,MMWR_RATING_RO_ROLLUP[#Headers],0)),"ERROR"))</f>
        <v>135.98258357189999</v>
      </c>
      <c r="I15" s="155">
        <f>IF($B15=" ","",IFERROR(INDEX(MMWR_RATING_RO_ROLLUP[],MATCH($B15,MMWR_RATING_RO_ROLLUP[MMWR_RATING_RO_ROLLUP],0),MATCH(I$9,MMWR_RATING_RO_ROLLUP[#Headers],0)),"ERROR"))</f>
        <v>135.9917020529</v>
      </c>
      <c r="J15" s="157">
        <f>VLOOKUP($B$13,MMWR_ACCURACY_RO[],MATCH(J$9,MMWR_ACCURACY_RO[#Headers],0),0)</f>
        <v>0.96302893320757221</v>
      </c>
      <c r="K15" s="157">
        <f>VLOOKUP($B$13,MMWR_ACCURACY_RO[],MATCH(K$9,MMWR_ACCURACY_RO[#Headers],0),0)</f>
        <v>0.9018949024373043</v>
      </c>
      <c r="L15" s="157">
        <f>VLOOKUP($B$13,MMWR_ACCURACY_RO[],MATCH(L$9,MMWR_ACCURACY_RO[#Headers],0),0)</f>
        <v>0.90319910745629872</v>
      </c>
      <c r="M15" s="157">
        <f>VLOOKUP($B$13,MMWR_ACCURACY_RO[],MATCH(M$9,MMWR_ACCURACY_RO[#Headers],0),0)</f>
        <v>7.5337381709705657E-3</v>
      </c>
      <c r="N15" s="157">
        <f>VLOOKUP($B$13,MMWR_ACCURACY_RO[],MATCH(N$9,MMWR_ACCURACY_RO[#Headers],0),0)</f>
        <v>0.90822738940094705</v>
      </c>
      <c r="O15" s="157">
        <f>VLOOKUP($B$13,MMWR_ACCURACY_RO[],MATCH(O$9,MMWR_ACCURACY_RO[#Headers],0),0)</f>
        <v>8.8258353019992335E-3</v>
      </c>
      <c r="P15" s="28"/>
    </row>
    <row r="16" spans="1:16" x14ac:dyDescent="0.2">
      <c r="A16" s="25"/>
      <c r="B16" s="248" t="s">
        <v>376</v>
      </c>
      <c r="C16" s="154">
        <f>IF($B16=" ","",IFERROR(INDEX(MMWR_RATING_RO_ROLLUP[],MATCH($B16,MMWR_RATING_RO_ROLLUP[MMWR_RATING_RO_ROLLUP],0),MATCH(C$9,MMWR_RATING_RO_ROLLUP[#Headers],0)),"ERROR"))</f>
        <v>69452</v>
      </c>
      <c r="D16" s="155">
        <f>IF($B16=" ","",IFERROR(INDEX(MMWR_RATING_RO_ROLLUP[],MATCH($B16,MMWR_RATING_RO_ROLLUP[MMWR_RATING_RO_ROLLUP],0),MATCH(D$9,MMWR_RATING_RO_ROLLUP[#Headers],0)),"ERROR"))</f>
        <v>92.913738985199998</v>
      </c>
      <c r="E16" s="156">
        <f>IF($B16=" ","",IFERROR(INDEX(MMWR_RATING_RO_ROLLUP[],MATCH($B16,MMWR_RATING_RO_ROLLUP[MMWR_RATING_RO_ROLLUP],0),MATCH(E$9,MMWR_RATING_RO_ROLLUP[#Headers],0))/$C16,"ERROR"))</f>
        <v>0.21901457121465184</v>
      </c>
      <c r="F16" s="154">
        <f>IF($B16=" ","",IFERROR(INDEX(MMWR_RATING_RO_ROLLUP[],MATCH($B16,MMWR_RATING_RO_ROLLUP[MMWR_RATING_RO_ROLLUP],0),MATCH(F$9,MMWR_RATING_RO_ROLLUP[#Headers],0)),"ERROR"))</f>
        <v>7941</v>
      </c>
      <c r="G16" s="154">
        <f>IF($B16=" ","",IFERROR(INDEX(MMWR_RATING_RO_ROLLUP[],MATCH($B16,MMWR_RATING_RO_ROLLUP[MMWR_RATING_RO_ROLLUP],0),MATCH(G$9,MMWR_RATING_RO_ROLLUP[#Headers],0)),"ERROR"))</f>
        <v>45669</v>
      </c>
      <c r="H16" s="155">
        <f>IF($B16=" ","",IFERROR(INDEX(MMWR_RATING_RO_ROLLUP[],MATCH($B16,MMWR_RATING_RO_ROLLUP[MMWR_RATING_RO_ROLLUP],0),MATCH(H$9,MMWR_RATING_RO_ROLLUP[#Headers],0)),"ERROR"))</f>
        <v>136.25513159549999</v>
      </c>
      <c r="I16" s="155">
        <f>IF($B16=" ","",IFERROR(INDEX(MMWR_RATING_RO_ROLLUP[],MATCH($B16,MMWR_RATING_RO_ROLLUP[MMWR_RATING_RO_ROLLUP],0),MATCH(I$9,MMWR_RATING_RO_ROLLUP[#Headers],0)),"ERROR"))</f>
        <v>135.04968359279999</v>
      </c>
      <c r="J16" s="158">
        <f>IF($B16=" ","",IFERROR(VLOOKUP($B16,MMWR_ACCURACY_RO[],MATCH(J$9,MMWR_ACCURACY_RO[#Headers],0),0),"ERROR"))</f>
        <v>0.96509265269579259</v>
      </c>
      <c r="K16" s="158">
        <f>IF($B16=" ","",IFERROR(VLOOKUP($B16,MMWR_ACCURACY_RO[],MATCH(K$9,MMWR_ACCURACY_RO[#Headers],0),0),"ERROR"))</f>
        <v>0.88915597034621041</v>
      </c>
      <c r="L16" s="158">
        <f>IF($B16=" ","",IFERROR(VLOOKUP($B16,MMWR_ACCURACY_RO[],MATCH(L$9,MMWR_ACCURACY_RO[#Headers],0),0),"ERROR"))</f>
        <v>0.87230660699508245</v>
      </c>
      <c r="M16" s="158">
        <f>IF($B16=" ","",IFERROR(VLOOKUP($B16,MMWR_ACCURACY_RO[],MATCH(M$9,MMWR_ACCURACY_RO[#Headers],0),0),"ERROR"))</f>
        <v>1.6710481666821906E-2</v>
      </c>
      <c r="N16" s="158">
        <f>IF($B16=" ","",IFERROR(VLOOKUP($B16,MMWR_ACCURACY_RO[],MATCH(N$9,MMWR_ACCURACY_RO[#Headers],0),0),"ERROR"))</f>
        <v>0.89276885898611813</v>
      </c>
      <c r="O16" s="158">
        <f>IF($B16=" ","",IFERROR(VLOOKUP($B16,MMWR_ACCURACY_RO[],MATCH(O$9,MMWR_ACCURACY_RO[#Headers],0),0),"ERROR"))</f>
        <v>1.6002069137405997E-2</v>
      </c>
      <c r="P16" s="28"/>
    </row>
    <row r="17" spans="1:16" x14ac:dyDescent="0.2">
      <c r="A17" s="25"/>
      <c r="B17" s="8" t="str">
        <f>VLOOKUP($B$16,DISTRICT_RO[],2,0)</f>
        <v>Baltimore VSC</v>
      </c>
      <c r="C17" s="154">
        <f>IF($B17=" ","",IFERROR(INDEX(MMWR_RATING_RO_ROLLUP[],MATCH($B17,MMWR_RATING_RO_ROLLUP[MMWR_RATING_RO_ROLLUP],0),MATCH(C$9,MMWR_RATING_RO_ROLLUP[#Headers],0)),"ERROR"))</f>
        <v>2495</v>
      </c>
      <c r="D17" s="155">
        <f>IF($B17=" ","",IFERROR(INDEX(MMWR_RATING_RO_ROLLUP[],MATCH($B17,MMWR_RATING_RO_ROLLUP[MMWR_RATING_RO_ROLLUP],0),MATCH(D$9,MMWR_RATING_RO_ROLLUP[#Headers],0)),"ERROR"))</f>
        <v>88.9847695391</v>
      </c>
      <c r="E17" s="156">
        <f>IF($B17=" ","",IFERROR(INDEX(MMWR_RATING_RO_ROLLUP[],MATCH($B17,MMWR_RATING_RO_ROLLUP[MMWR_RATING_RO_ROLLUP],0),MATCH(E$9,MMWR_RATING_RO_ROLLUP[#Headers],0))/$C17,"ERROR"))</f>
        <v>0.21282565130260522</v>
      </c>
      <c r="F17" s="154">
        <f>IF($B17=" ","",IFERROR(INDEX(MMWR_RATING_RO_ROLLUP[],MATCH($B17,MMWR_RATING_RO_ROLLUP[MMWR_RATING_RO_ROLLUP],0),MATCH(F$9,MMWR_RATING_RO_ROLLUP[#Headers],0)),"ERROR"))</f>
        <v>313</v>
      </c>
      <c r="G17" s="154">
        <f>IF($B17=" ","",IFERROR(INDEX(MMWR_RATING_RO_ROLLUP[],MATCH($B17,MMWR_RATING_RO_ROLLUP[MMWR_RATING_RO_ROLLUP],0),MATCH(G$9,MMWR_RATING_RO_ROLLUP[#Headers],0)),"ERROR"))</f>
        <v>1969</v>
      </c>
      <c r="H17" s="155">
        <f>IF($B17=" ","",IFERROR(INDEX(MMWR_RATING_RO_ROLLUP[],MATCH($B17,MMWR_RATING_RO_ROLLUP[MMWR_RATING_RO_ROLLUP],0),MATCH(H$9,MMWR_RATING_RO_ROLLUP[#Headers],0)),"ERROR"))</f>
        <v>121.07667731630001</v>
      </c>
      <c r="I17" s="155">
        <f>IF($B17=" ","",IFERROR(INDEX(MMWR_RATING_RO_ROLLUP[],MATCH($B17,MMWR_RATING_RO_ROLLUP[MMWR_RATING_RO_ROLLUP],0),MATCH(I$9,MMWR_RATING_RO_ROLLUP[#Headers],0)),"ERROR"))</f>
        <v>130.56475368209999</v>
      </c>
      <c r="J17" s="158">
        <f>IF($B17=" ","",IFERROR(VLOOKUP($B17,MMWR_ACCURACY_RO[],MATCH(J$9,MMWR_ACCURACY_RO[#Headers],0),0),"ERROR"))</f>
        <v>0.95020192985309282</v>
      </c>
      <c r="K17" s="158">
        <f>IF($B17=" ","",IFERROR(VLOOKUP($B17,MMWR_ACCURACY_RO[],MATCH(K$9,MMWR_ACCURACY_RO[#Headers],0),0),"ERROR"))</f>
        <v>0.8032912069031346</v>
      </c>
      <c r="L17" s="158">
        <f>IF($B17=" ","",IFERROR(VLOOKUP($B17,MMWR_ACCURACY_RO[],MATCH(L$9,MMWR_ACCURACY_RO[#Headers],0),0),"ERROR"))</f>
        <v>0.83704533653377067</v>
      </c>
      <c r="M17" s="158">
        <f>IF($B17=" ","",IFERROR(VLOOKUP($B17,MMWR_ACCURACY_RO[],MATCH(M$9,MMWR_ACCURACY_RO[#Headers],0),0),"ERROR"))</f>
        <v>4.6605980709748994E-2</v>
      </c>
      <c r="N17" s="158">
        <f>IF($B17=" ","",IFERROR(VLOOKUP($B17,MMWR_ACCURACY_RO[],MATCH(N$9,MMWR_ACCURACY_RO[#Headers],0),0),"ERROR"))</f>
        <v>0.86662322020532823</v>
      </c>
      <c r="O17" s="158">
        <f>IF($B17=" ","",IFERROR(VLOOKUP($B17,MMWR_ACCURACY_RO[],MATCH(O$9,MMWR_ACCURACY_RO[#Headers],0),0),"ERROR"))</f>
        <v>4.9817097387363916E-2</v>
      </c>
      <c r="P17" s="28"/>
    </row>
    <row r="18" spans="1:16" x14ac:dyDescent="0.2">
      <c r="A18" s="25"/>
      <c r="B18" s="8" t="str">
        <f>VLOOKUP($B$16,DISTRICT_RO[],3,0)</f>
        <v>Boston VSC</v>
      </c>
      <c r="C18" s="154">
        <f>IF($B18=" ","",IFERROR(INDEX(MMWR_RATING_RO_ROLLUP[],MATCH($B18,MMWR_RATING_RO_ROLLUP[MMWR_RATING_RO_ROLLUP],0),MATCH(C$9,MMWR_RATING_RO_ROLLUP[#Headers],0)),"ERROR"))</f>
        <v>3196</v>
      </c>
      <c r="D18" s="155">
        <f>IF($B18=" ","",IFERROR(INDEX(MMWR_RATING_RO_ROLLUP[],MATCH($B18,MMWR_RATING_RO_ROLLUP[MMWR_RATING_RO_ROLLUP],0),MATCH(D$9,MMWR_RATING_RO_ROLLUP[#Headers],0)),"ERROR"))</f>
        <v>87.953692115099997</v>
      </c>
      <c r="E18" s="156">
        <f>IF($B18=" ","",IFERROR(INDEX(MMWR_RATING_RO_ROLLUP[],MATCH($B18,MMWR_RATING_RO_ROLLUP[MMWR_RATING_RO_ROLLUP],0),MATCH(E$9,MMWR_RATING_RO_ROLLUP[#Headers],0))/$C18,"ERROR"))</f>
        <v>0.21339173967459324</v>
      </c>
      <c r="F18" s="154">
        <f>IF($B18=" ","",IFERROR(INDEX(MMWR_RATING_RO_ROLLUP[],MATCH($B18,MMWR_RATING_RO_ROLLUP[MMWR_RATING_RO_ROLLUP],0),MATCH(F$9,MMWR_RATING_RO_ROLLUP[#Headers],0)),"ERROR"))</f>
        <v>385</v>
      </c>
      <c r="G18" s="154">
        <f>IF($B18=" ","",IFERROR(INDEX(MMWR_RATING_RO_ROLLUP[],MATCH($B18,MMWR_RATING_RO_ROLLUP[MMWR_RATING_RO_ROLLUP],0),MATCH(G$9,MMWR_RATING_RO_ROLLUP[#Headers],0)),"ERROR"))</f>
        <v>2143</v>
      </c>
      <c r="H18" s="155">
        <f>IF($B18=" ","",IFERROR(INDEX(MMWR_RATING_RO_ROLLUP[],MATCH($B18,MMWR_RATING_RO_ROLLUP[MMWR_RATING_RO_ROLLUP],0),MATCH(H$9,MMWR_RATING_RO_ROLLUP[#Headers],0)),"ERROR"))</f>
        <v>116.0883116883</v>
      </c>
      <c r="I18" s="155">
        <f>IF($B18=" ","",IFERROR(INDEX(MMWR_RATING_RO_ROLLUP[],MATCH($B18,MMWR_RATING_RO_ROLLUP[MMWR_RATING_RO_ROLLUP],0),MATCH(I$9,MMWR_RATING_RO_ROLLUP[#Headers],0)),"ERROR"))</f>
        <v>112.4904339711</v>
      </c>
      <c r="J18" s="158">
        <f>IF($B18=" ","",IFERROR(VLOOKUP($B18,MMWR_ACCURACY_RO[],MATCH(J$9,MMWR_ACCURACY_RO[#Headers],0),0),"ERROR"))</f>
        <v>0.91706819540674567</v>
      </c>
      <c r="K18" s="158">
        <f>IF($B18=" ","",IFERROR(VLOOKUP($B18,MMWR_ACCURACY_RO[],MATCH(K$9,MMWR_ACCURACY_RO[#Headers],0),0),"ERROR"))</f>
        <v>0.83029133029133018</v>
      </c>
      <c r="L18" s="158">
        <f>IF($B18=" ","",IFERROR(VLOOKUP($B18,MMWR_ACCURACY_RO[],MATCH(L$9,MMWR_ACCURACY_RO[#Headers],0),0),"ERROR"))</f>
        <v>0.82793141316827235</v>
      </c>
      <c r="M18" s="158">
        <f>IF($B18=" ","",IFERROR(VLOOKUP($B18,MMWR_ACCURACY_RO[],MATCH(M$9,MMWR_ACCURACY_RO[#Headers],0),0),"ERROR"))</f>
        <v>5.8542969046113245E-2</v>
      </c>
      <c r="N18" s="158">
        <f>IF($B18=" ","",IFERROR(VLOOKUP($B18,MMWR_ACCURACY_RO[],MATCH(N$9,MMWR_ACCURACY_RO[#Headers],0),0),"ERROR"))</f>
        <v>0.91525336038029659</v>
      </c>
      <c r="O18" s="158">
        <f>IF($B18=" ","",IFERROR(VLOOKUP($B18,MMWR_ACCURACY_RO[],MATCH(O$9,MMWR_ACCURACY_RO[#Headers],0),0),"ERROR"))</f>
        <v>5.5956485067688175E-2</v>
      </c>
      <c r="P18" s="28"/>
    </row>
    <row r="19" spans="1:16" x14ac:dyDescent="0.2">
      <c r="A19" s="25"/>
      <c r="B19" s="8" t="str">
        <f>VLOOKUP($B$16,DISTRICT_RO[],4,0)</f>
        <v>Buffalo VSC</v>
      </c>
      <c r="C19" s="154">
        <f>IF($B19=" ","",IFERROR(INDEX(MMWR_RATING_RO_ROLLUP[],MATCH($B19,MMWR_RATING_RO_ROLLUP[MMWR_RATING_RO_ROLLUP],0),MATCH(C$9,MMWR_RATING_RO_ROLLUP[#Headers],0)),"ERROR"))</f>
        <v>2859</v>
      </c>
      <c r="D19" s="155">
        <f>IF($B19=" ","",IFERROR(INDEX(MMWR_RATING_RO_ROLLUP[],MATCH($B19,MMWR_RATING_RO_ROLLUP[MMWR_RATING_RO_ROLLUP],0),MATCH(D$9,MMWR_RATING_RO_ROLLUP[#Headers],0)),"ERROR"))</f>
        <v>79.857642532400007</v>
      </c>
      <c r="E19" s="156">
        <f>IF($B19=" ","",IFERROR(INDEX(MMWR_RATING_RO_ROLLUP[],MATCH($B19,MMWR_RATING_RO_ROLLUP[MMWR_RATING_RO_ROLLUP],0),MATCH(E$9,MMWR_RATING_RO_ROLLUP[#Headers],0))/$C19,"ERROR"))</f>
        <v>0.15494928296607205</v>
      </c>
      <c r="F19" s="154">
        <f>IF($B19=" ","",IFERROR(INDEX(MMWR_RATING_RO_ROLLUP[],MATCH($B19,MMWR_RATING_RO_ROLLUP[MMWR_RATING_RO_ROLLUP],0),MATCH(F$9,MMWR_RATING_RO_ROLLUP[#Headers],0)),"ERROR"))</f>
        <v>378</v>
      </c>
      <c r="G19" s="154">
        <f>IF($B19=" ","",IFERROR(INDEX(MMWR_RATING_RO_ROLLUP[],MATCH($B19,MMWR_RATING_RO_ROLLUP[MMWR_RATING_RO_ROLLUP],0),MATCH(G$9,MMWR_RATING_RO_ROLLUP[#Headers],0)),"ERROR"))</f>
        <v>2064</v>
      </c>
      <c r="H19" s="155">
        <f>IF($B19=" ","",IFERROR(INDEX(MMWR_RATING_RO_ROLLUP[],MATCH($B19,MMWR_RATING_RO_ROLLUP[MMWR_RATING_RO_ROLLUP],0),MATCH(H$9,MMWR_RATING_RO_ROLLUP[#Headers],0)),"ERROR"))</f>
        <v>136.68783068779999</v>
      </c>
      <c r="I19" s="155">
        <f>IF($B19=" ","",IFERROR(INDEX(MMWR_RATING_RO_ROLLUP[],MATCH($B19,MMWR_RATING_RO_ROLLUP[MMWR_RATING_RO_ROLLUP],0),MATCH(I$9,MMWR_RATING_RO_ROLLUP[#Headers],0)),"ERROR"))</f>
        <v>144.74612403099999</v>
      </c>
      <c r="J19" s="158">
        <f>IF($B19=" ","",IFERROR(VLOOKUP($B19,MMWR_ACCURACY_RO[],MATCH(J$9,MMWR_ACCURACY_RO[#Headers],0),0),"ERROR"))</f>
        <v>0.97656463248196534</v>
      </c>
      <c r="K19" s="158">
        <f>IF($B19=" ","",IFERROR(VLOOKUP($B19,MMWR_ACCURACY_RO[],MATCH(K$9,MMWR_ACCURACY_RO[#Headers],0),0),"ERROR"))</f>
        <v>0.92374234960441859</v>
      </c>
      <c r="L19" s="158">
        <f>IF($B19=" ","",IFERROR(VLOOKUP($B19,MMWR_ACCURACY_RO[],MATCH(L$9,MMWR_ACCURACY_RO[#Headers],0),0),"ERROR"))</f>
        <v>0.88581863935522454</v>
      </c>
      <c r="M19" s="158">
        <f>IF($B19=" ","",IFERROR(VLOOKUP($B19,MMWR_ACCURACY_RO[],MATCH(M$9,MMWR_ACCURACY_RO[#Headers],0),0),"ERROR"))</f>
        <v>4.9569999406535815E-2</v>
      </c>
      <c r="N19" s="158">
        <f>IF($B19=" ","",IFERROR(VLOOKUP($B19,MMWR_ACCURACY_RO[],MATCH(N$9,MMWR_ACCURACY_RO[#Headers],0),0),"ERROR"))</f>
        <v>0.87522193823655736</v>
      </c>
      <c r="O19" s="158">
        <f>IF($B19=" ","",IFERROR(VLOOKUP($B19,MMWR_ACCURACY_RO[],MATCH(O$9,MMWR_ACCURACY_RO[#Headers],0),0),"ERROR"))</f>
        <v>4.7629350570120937E-2</v>
      </c>
      <c r="P19" s="28"/>
    </row>
    <row r="20" spans="1:16" x14ac:dyDescent="0.2">
      <c r="A20" s="25"/>
      <c r="B20" s="8" t="str">
        <f>VLOOKUP($B$16,DISTRICT_RO[],5,0)</f>
        <v>Hartford VSC</v>
      </c>
      <c r="C20" s="154">
        <f>IF($B20=" ","",IFERROR(INDEX(MMWR_RATING_RO_ROLLUP[],MATCH($B20,MMWR_RATING_RO_ROLLUP[MMWR_RATING_RO_ROLLUP],0),MATCH(C$9,MMWR_RATING_RO_ROLLUP[#Headers],0)),"ERROR"))</f>
        <v>3261</v>
      </c>
      <c r="D20" s="155">
        <f>IF($B20=" ","",IFERROR(INDEX(MMWR_RATING_RO_ROLLUP[],MATCH($B20,MMWR_RATING_RO_ROLLUP[MMWR_RATING_RO_ROLLUP],0),MATCH(D$9,MMWR_RATING_RO_ROLLUP[#Headers],0)),"ERROR"))</f>
        <v>88.6930389451</v>
      </c>
      <c r="E20" s="156">
        <f>IF($B20=" ","",IFERROR(INDEX(MMWR_RATING_RO_ROLLUP[],MATCH($B20,MMWR_RATING_RO_ROLLUP[MMWR_RATING_RO_ROLLUP],0),MATCH(E$9,MMWR_RATING_RO_ROLLUP[#Headers],0))/$C20,"ERROR"))</f>
        <v>0.18705918429929469</v>
      </c>
      <c r="F20" s="154">
        <f>IF($B20=" ","",IFERROR(INDEX(MMWR_RATING_RO_ROLLUP[],MATCH($B20,MMWR_RATING_RO_ROLLUP[MMWR_RATING_RO_ROLLUP],0),MATCH(F$9,MMWR_RATING_RO_ROLLUP[#Headers],0)),"ERROR"))</f>
        <v>253</v>
      </c>
      <c r="G20" s="154">
        <f>IF($B20=" ","",IFERROR(INDEX(MMWR_RATING_RO_ROLLUP[],MATCH($B20,MMWR_RATING_RO_ROLLUP[MMWR_RATING_RO_ROLLUP],0),MATCH(G$9,MMWR_RATING_RO_ROLLUP[#Headers],0)),"ERROR"))</f>
        <v>1855</v>
      </c>
      <c r="H20" s="155">
        <f>IF($B20=" ","",IFERROR(INDEX(MMWR_RATING_RO_ROLLUP[],MATCH($B20,MMWR_RATING_RO_ROLLUP[MMWR_RATING_RO_ROLLUP],0),MATCH(H$9,MMWR_RATING_RO_ROLLUP[#Headers],0)),"ERROR"))</f>
        <v>131.44268774700001</v>
      </c>
      <c r="I20" s="155">
        <f>IF($B20=" ","",IFERROR(INDEX(MMWR_RATING_RO_ROLLUP[],MATCH($B20,MMWR_RATING_RO_ROLLUP[MMWR_RATING_RO_ROLLUP],0),MATCH(I$9,MMWR_RATING_RO_ROLLUP[#Headers],0)),"ERROR"))</f>
        <v>134.11536388139999</v>
      </c>
      <c r="J20" s="158">
        <f>IF($B20=" ","",IFERROR(VLOOKUP($B20,MMWR_ACCURACY_RO[],MATCH(J$9,MMWR_ACCURACY_RO[#Headers],0),0),"ERROR"))</f>
        <v>0.97054664400291391</v>
      </c>
      <c r="K20" s="158">
        <f>IF($B20=" ","",IFERROR(VLOOKUP($B20,MMWR_ACCURACY_RO[],MATCH(K$9,MMWR_ACCURACY_RO[#Headers],0),0),"ERROR"))</f>
        <v>0.90484696915565077</v>
      </c>
      <c r="L20" s="158">
        <f>IF($B20=" ","",IFERROR(VLOOKUP($B20,MMWR_ACCURACY_RO[],MATCH(L$9,MMWR_ACCURACY_RO[#Headers],0),0),"ERROR"))</f>
        <v>0.91229359862054049</v>
      </c>
      <c r="M20" s="158">
        <f>IF($B20=" ","",IFERROR(VLOOKUP($B20,MMWR_ACCURACY_RO[],MATCH(M$9,MMWR_ACCURACY_RO[#Headers],0),0),"ERROR"))</f>
        <v>4.4833904578174925E-2</v>
      </c>
      <c r="N20" s="158">
        <f>IF($B20=" ","",IFERROR(VLOOKUP($B20,MMWR_ACCURACY_RO[],MATCH(N$9,MMWR_ACCURACY_RO[#Headers],0),0),"ERROR"))</f>
        <v>0.96706286742266068</v>
      </c>
      <c r="O20" s="158">
        <f>IF($B20=" ","",IFERROR(VLOOKUP($B20,MMWR_ACCURACY_RO[],MATCH(O$9,MMWR_ACCURACY_RO[#Headers],0),0),"ERROR"))</f>
        <v>3.3241064958263136E-2</v>
      </c>
      <c r="P20" s="28"/>
    </row>
    <row r="21" spans="1:16" x14ac:dyDescent="0.2">
      <c r="A21" s="25"/>
      <c r="B21" s="8" t="str">
        <f>VLOOKUP($B$16,DISTRICT_RO[],6,0)</f>
        <v>Huntington VSC</v>
      </c>
      <c r="C21" s="154">
        <f>IF($B21=" ","",IFERROR(INDEX(MMWR_RATING_RO_ROLLUP[],MATCH($B21,MMWR_RATING_RO_ROLLUP[MMWR_RATING_RO_ROLLUP],0),MATCH(C$9,MMWR_RATING_RO_ROLLUP[#Headers],0)),"ERROR"))</f>
        <v>5665</v>
      </c>
      <c r="D21" s="155">
        <f>IF($B21=" ","",IFERROR(INDEX(MMWR_RATING_RO_ROLLUP[],MATCH($B21,MMWR_RATING_RO_ROLLUP[MMWR_RATING_RO_ROLLUP],0),MATCH(D$9,MMWR_RATING_RO_ROLLUP[#Headers],0)),"ERROR"))</f>
        <v>92.360105913500007</v>
      </c>
      <c r="E21" s="156">
        <f>IF($B21=" ","",IFERROR(INDEX(MMWR_RATING_RO_ROLLUP[],MATCH($B21,MMWR_RATING_RO_ROLLUP[MMWR_RATING_RO_ROLLUP],0),MATCH(E$9,MMWR_RATING_RO_ROLLUP[#Headers],0))/$C21,"ERROR"))</f>
        <v>0.16875551632833186</v>
      </c>
      <c r="F21" s="154">
        <f>IF($B21=" ","",IFERROR(INDEX(MMWR_RATING_RO_ROLLUP[],MATCH($B21,MMWR_RATING_RO_ROLLUP[MMWR_RATING_RO_ROLLUP],0),MATCH(F$9,MMWR_RATING_RO_ROLLUP[#Headers],0)),"ERROR"))</f>
        <v>717</v>
      </c>
      <c r="G21" s="154">
        <f>IF($B21=" ","",IFERROR(INDEX(MMWR_RATING_RO_ROLLUP[],MATCH($B21,MMWR_RATING_RO_ROLLUP[MMWR_RATING_RO_ROLLUP],0),MATCH(G$9,MMWR_RATING_RO_ROLLUP[#Headers],0)),"ERROR"))</f>
        <v>3675</v>
      </c>
      <c r="H21" s="155">
        <f>IF($B21=" ","",IFERROR(INDEX(MMWR_RATING_RO_ROLLUP[],MATCH($B21,MMWR_RATING_RO_ROLLUP[MMWR_RATING_RO_ROLLUP],0),MATCH(H$9,MMWR_RATING_RO_ROLLUP[#Headers],0)),"ERROR"))</f>
        <v>141.20920502089999</v>
      </c>
      <c r="I21" s="155">
        <f>IF($B21=" ","",IFERROR(INDEX(MMWR_RATING_RO_ROLLUP[],MATCH($B21,MMWR_RATING_RO_ROLLUP[MMWR_RATING_RO_ROLLUP],0),MATCH(I$9,MMWR_RATING_RO_ROLLUP[#Headers],0)),"ERROR"))</f>
        <v>136.07401360540001</v>
      </c>
      <c r="J21" s="158">
        <f>IF($B21=" ","",IFERROR(VLOOKUP($B21,MMWR_ACCURACY_RO[],MATCH(J$9,MMWR_ACCURACY_RO[#Headers],0),0),"ERROR"))</f>
        <v>0.97282677228539993</v>
      </c>
      <c r="K21" s="158">
        <f>IF($B21=" ","",IFERROR(VLOOKUP($B21,MMWR_ACCURACY_RO[],MATCH(K$9,MMWR_ACCURACY_RO[#Headers],0),0),"ERROR"))</f>
        <v>0.89002718974558159</v>
      </c>
      <c r="L21" s="158">
        <f>IF($B21=" ","",IFERROR(VLOOKUP($B21,MMWR_ACCURACY_RO[],MATCH(L$9,MMWR_ACCURACY_RO[#Headers],0),0),"ERROR"))</f>
        <v>0.8966879945112981</v>
      </c>
      <c r="M21" s="158">
        <f>IF($B21=" ","",IFERROR(VLOOKUP($B21,MMWR_ACCURACY_RO[],MATCH(M$9,MMWR_ACCURACY_RO[#Headers],0),0),"ERROR"))</f>
        <v>4.4971664608771104E-2</v>
      </c>
      <c r="N21" s="158">
        <f>IF($B21=" ","",IFERROR(VLOOKUP($B21,MMWR_ACCURACY_RO[],MATCH(N$9,MMWR_ACCURACY_RO[#Headers],0),0),"ERROR"))</f>
        <v>0.90584974990550005</v>
      </c>
      <c r="O21" s="158">
        <f>IF($B21=" ","",IFERROR(VLOOKUP($B21,MMWR_ACCURACY_RO[],MATCH(O$9,MMWR_ACCURACY_RO[#Headers],0),0),"ERROR"))</f>
        <v>4.8124312022041878E-2</v>
      </c>
      <c r="P21" s="28"/>
    </row>
    <row r="22" spans="1:16" x14ac:dyDescent="0.2">
      <c r="A22" s="25"/>
      <c r="B22" s="8" t="str">
        <f>VLOOKUP($B$16,DISTRICT_RO[],7,0)</f>
        <v>Manchester VSC</v>
      </c>
      <c r="C22" s="154">
        <f>IF($B22=" ","",IFERROR(INDEX(MMWR_RATING_RO_ROLLUP[],MATCH($B22,MMWR_RATING_RO_ROLLUP[MMWR_RATING_RO_ROLLUP],0),MATCH(C$9,MMWR_RATING_RO_ROLLUP[#Headers],0)),"ERROR"))</f>
        <v>1267</v>
      </c>
      <c r="D22" s="155">
        <f>IF($B22=" ","",IFERROR(INDEX(MMWR_RATING_RO_ROLLUP[],MATCH($B22,MMWR_RATING_RO_ROLLUP[MMWR_RATING_RO_ROLLUP],0),MATCH(D$9,MMWR_RATING_RO_ROLLUP[#Headers],0)),"ERROR"))</f>
        <v>96.429360694600007</v>
      </c>
      <c r="E22" s="156">
        <f>IF($B22=" ","",IFERROR(INDEX(MMWR_RATING_RO_ROLLUP[],MATCH($B22,MMWR_RATING_RO_ROLLUP[MMWR_RATING_RO_ROLLUP],0),MATCH(E$9,MMWR_RATING_RO_ROLLUP[#Headers],0))/$C22,"ERROR"))</f>
        <v>0.23362273086029992</v>
      </c>
      <c r="F22" s="154">
        <f>IF($B22=" ","",IFERROR(INDEX(MMWR_RATING_RO_ROLLUP[],MATCH($B22,MMWR_RATING_RO_ROLLUP[MMWR_RATING_RO_ROLLUP],0),MATCH(F$9,MMWR_RATING_RO_ROLLUP[#Headers],0)),"ERROR"))</f>
        <v>188</v>
      </c>
      <c r="G22" s="154">
        <f>IF($B22=" ","",IFERROR(INDEX(MMWR_RATING_RO_ROLLUP[],MATCH($B22,MMWR_RATING_RO_ROLLUP[MMWR_RATING_RO_ROLLUP],0),MATCH(G$9,MMWR_RATING_RO_ROLLUP[#Headers],0)),"ERROR"))</f>
        <v>773</v>
      </c>
      <c r="H22" s="155">
        <f>IF($B22=" ","",IFERROR(INDEX(MMWR_RATING_RO_ROLLUP[],MATCH($B22,MMWR_RATING_RO_ROLLUP[MMWR_RATING_RO_ROLLUP],0),MATCH(H$9,MMWR_RATING_RO_ROLLUP[#Headers],0)),"ERROR"))</f>
        <v>133.57446808509999</v>
      </c>
      <c r="I22" s="155">
        <f>IF($B22=" ","",IFERROR(INDEX(MMWR_RATING_RO_ROLLUP[],MATCH($B22,MMWR_RATING_RO_ROLLUP[MMWR_RATING_RO_ROLLUP],0),MATCH(I$9,MMWR_RATING_RO_ROLLUP[#Headers],0)),"ERROR"))</f>
        <v>140.24708926260001</v>
      </c>
      <c r="J22" s="158">
        <f>IF($B22=" ","",IFERROR(VLOOKUP($B22,MMWR_ACCURACY_RO[],MATCH(J$9,MMWR_ACCURACY_RO[#Headers],0),0),"ERROR"))</f>
        <v>0.97598645352175517</v>
      </c>
      <c r="K22" s="158">
        <f>IF($B22=" ","",IFERROR(VLOOKUP($B22,MMWR_ACCURACY_RO[],MATCH(K$9,MMWR_ACCURACY_RO[#Headers],0),0),"ERROR"))</f>
        <v>0.96205179282868525</v>
      </c>
      <c r="L22" s="158">
        <f>IF($B22=" ","",IFERROR(VLOOKUP($B22,MMWR_ACCURACY_RO[],MATCH(L$9,MMWR_ACCURACY_RO[#Headers],0),0),"ERROR"))</f>
        <v>0.91863578374431909</v>
      </c>
      <c r="M22" s="158">
        <f>IF($B22=" ","",IFERROR(VLOOKUP($B22,MMWR_ACCURACY_RO[],MATCH(M$9,MMWR_ACCURACY_RO[#Headers],0),0),"ERROR"))</f>
        <v>3.9118647441663656E-2</v>
      </c>
      <c r="N22" s="158">
        <f>IF($B22=" ","",IFERROR(VLOOKUP($B22,MMWR_ACCURACY_RO[],MATCH(N$9,MMWR_ACCURACY_RO[#Headers],0),0),"ERROR"))</f>
        <v>0.9200361352064137</v>
      </c>
      <c r="O22" s="158">
        <f>IF($B22=" ","",IFERROR(VLOOKUP($B22,MMWR_ACCURACY_RO[],MATCH(O$9,MMWR_ACCURACY_RO[#Headers],0),0),"ERROR"))</f>
        <v>4.5700383985787379E-2</v>
      </c>
      <c r="P22" s="28"/>
    </row>
    <row r="23" spans="1:16" x14ac:dyDescent="0.2">
      <c r="A23" s="25"/>
      <c r="B23" s="8" t="str">
        <f>VLOOKUP($B$16,DISTRICT_RO[],8,0)</f>
        <v>New York VSC</v>
      </c>
      <c r="C23" s="154">
        <f>IF($B23=" ","",IFERROR(INDEX(MMWR_RATING_RO_ROLLUP[],MATCH($B23,MMWR_RATING_RO_ROLLUP[MMWR_RATING_RO_ROLLUP],0),MATCH(C$9,MMWR_RATING_RO_ROLLUP[#Headers],0)),"ERROR"))</f>
        <v>3820</v>
      </c>
      <c r="D23" s="155">
        <f>IF($B23=" ","",IFERROR(INDEX(MMWR_RATING_RO_ROLLUP[],MATCH($B23,MMWR_RATING_RO_ROLLUP[MMWR_RATING_RO_ROLLUP],0),MATCH(D$9,MMWR_RATING_RO_ROLLUP[#Headers],0)),"ERROR"))</f>
        <v>91.363612565400004</v>
      </c>
      <c r="E23" s="156">
        <f>IF($B23=" ","",IFERROR(INDEX(MMWR_RATING_RO_ROLLUP[],MATCH($B23,MMWR_RATING_RO_ROLLUP[MMWR_RATING_RO_ROLLUP],0),MATCH(E$9,MMWR_RATING_RO_ROLLUP[#Headers],0))/$C23,"ERROR"))</f>
        <v>0.23455497382198953</v>
      </c>
      <c r="F23" s="154">
        <f>IF($B23=" ","",IFERROR(INDEX(MMWR_RATING_RO_ROLLUP[],MATCH($B23,MMWR_RATING_RO_ROLLUP[MMWR_RATING_RO_ROLLUP],0),MATCH(F$9,MMWR_RATING_RO_ROLLUP[#Headers],0)),"ERROR"))</f>
        <v>367</v>
      </c>
      <c r="G23" s="154">
        <f>IF($B23=" ","",IFERROR(INDEX(MMWR_RATING_RO_ROLLUP[],MATCH($B23,MMWR_RATING_RO_ROLLUP[MMWR_RATING_RO_ROLLUP],0),MATCH(G$9,MMWR_RATING_RO_ROLLUP[#Headers],0)),"ERROR"))</f>
        <v>2266</v>
      </c>
      <c r="H23" s="155">
        <f>IF($B23=" ","",IFERROR(INDEX(MMWR_RATING_RO_ROLLUP[],MATCH($B23,MMWR_RATING_RO_ROLLUP[MMWR_RATING_RO_ROLLUP],0),MATCH(H$9,MMWR_RATING_RO_ROLLUP[#Headers],0)),"ERROR"))</f>
        <v>136.81743869210001</v>
      </c>
      <c r="I23" s="155">
        <f>IF($B23=" ","",IFERROR(INDEX(MMWR_RATING_RO_ROLLUP[],MATCH($B23,MMWR_RATING_RO_ROLLUP[MMWR_RATING_RO_ROLLUP],0),MATCH(I$9,MMWR_RATING_RO_ROLLUP[#Headers],0)),"ERROR"))</f>
        <v>130.53398058249999</v>
      </c>
      <c r="J23" s="158">
        <f>IF($B23=" ","",IFERROR(VLOOKUP($B23,MMWR_ACCURACY_RO[],MATCH(J$9,MMWR_ACCURACY_RO[#Headers],0),0),"ERROR"))</f>
        <v>0.95009146915606246</v>
      </c>
      <c r="K23" s="158">
        <f>IF($B23=" ","",IFERROR(VLOOKUP($B23,MMWR_ACCURACY_RO[],MATCH(K$9,MMWR_ACCURACY_RO[#Headers],0),0),"ERROR"))</f>
        <v>0.85112592325707082</v>
      </c>
      <c r="L23" s="158">
        <f>IF($B23=" ","",IFERROR(VLOOKUP($B23,MMWR_ACCURACY_RO[],MATCH(L$9,MMWR_ACCURACY_RO[#Headers],0),0),"ERROR"))</f>
        <v>0.89898706077767865</v>
      </c>
      <c r="M23" s="158">
        <f>IF($B23=" ","",IFERROR(VLOOKUP($B23,MMWR_ACCURACY_RO[],MATCH(M$9,MMWR_ACCURACY_RO[#Headers],0),0),"ERROR"))</f>
        <v>4.752568567591986E-2</v>
      </c>
      <c r="N23" s="158">
        <f>IF($B23=" ","",IFERROR(VLOOKUP($B23,MMWR_ACCURACY_RO[],MATCH(N$9,MMWR_ACCURACY_RO[#Headers],0),0),"ERROR"))</f>
        <v>0.92776992820595927</v>
      </c>
      <c r="O23" s="158">
        <f>IF($B23=" ","",IFERROR(VLOOKUP($B23,MMWR_ACCURACY_RO[],MATCH(O$9,MMWR_ACCURACY_RO[#Headers],0),0),"ERROR"))</f>
        <v>4.0318412272002606E-2</v>
      </c>
      <c r="P23" s="28"/>
    </row>
    <row r="24" spans="1:16" x14ac:dyDescent="0.2">
      <c r="A24" s="25"/>
      <c r="B24" s="8" t="str">
        <f>VLOOKUP($B$16,DISTRICT_RO[],9,0)</f>
        <v>Newark VSC</v>
      </c>
      <c r="C24" s="154">
        <f>IF($B24=" ","",IFERROR(INDEX(MMWR_RATING_RO_ROLLUP[],MATCH($B24,MMWR_RATING_RO_ROLLUP[MMWR_RATING_RO_ROLLUP],0),MATCH(C$9,MMWR_RATING_RO_ROLLUP[#Headers],0)),"ERROR"))</f>
        <v>2320</v>
      </c>
      <c r="D24" s="155">
        <f>IF($B24=" ","",IFERROR(INDEX(MMWR_RATING_RO_ROLLUP[],MATCH($B24,MMWR_RATING_RO_ROLLUP[MMWR_RATING_RO_ROLLUP],0),MATCH(D$9,MMWR_RATING_RO_ROLLUP[#Headers],0)),"ERROR"))</f>
        <v>75.919396551700004</v>
      </c>
      <c r="E24" s="156">
        <f>IF($B24=" ","",IFERROR(INDEX(MMWR_RATING_RO_ROLLUP[],MATCH($B24,MMWR_RATING_RO_ROLLUP[MMWR_RATING_RO_ROLLUP],0),MATCH(E$9,MMWR_RATING_RO_ROLLUP[#Headers],0))/$C24,"ERROR"))</f>
        <v>0.15</v>
      </c>
      <c r="F24" s="154">
        <f>IF($B24=" ","",IFERROR(INDEX(MMWR_RATING_RO_ROLLUP[],MATCH($B24,MMWR_RATING_RO_ROLLUP[MMWR_RATING_RO_ROLLUP],0),MATCH(F$9,MMWR_RATING_RO_ROLLUP[#Headers],0)),"ERROR"))</f>
        <v>148</v>
      </c>
      <c r="G24" s="154">
        <f>IF($B24=" ","",IFERROR(INDEX(MMWR_RATING_RO_ROLLUP[],MATCH($B24,MMWR_RATING_RO_ROLLUP[MMWR_RATING_RO_ROLLUP],0),MATCH(G$9,MMWR_RATING_RO_ROLLUP[#Headers],0)),"ERROR"))</f>
        <v>1343</v>
      </c>
      <c r="H24" s="155">
        <f>IF($B24=" ","",IFERROR(INDEX(MMWR_RATING_RO_ROLLUP[],MATCH($B24,MMWR_RATING_RO_ROLLUP[MMWR_RATING_RO_ROLLUP],0),MATCH(H$9,MMWR_RATING_RO_ROLLUP[#Headers],0)),"ERROR"))</f>
        <v>159.23648648650001</v>
      </c>
      <c r="I24" s="155">
        <f>IF($B24=" ","",IFERROR(INDEX(MMWR_RATING_RO_ROLLUP[],MATCH($B24,MMWR_RATING_RO_ROLLUP[MMWR_RATING_RO_ROLLUP],0),MATCH(I$9,MMWR_RATING_RO_ROLLUP[#Headers],0)),"ERROR"))</f>
        <v>139.4869694713</v>
      </c>
      <c r="J24" s="158">
        <f>IF($B24=" ","",IFERROR(VLOOKUP($B24,MMWR_ACCURACY_RO[],MATCH(J$9,MMWR_ACCURACY_RO[#Headers],0),0),"ERROR"))</f>
        <v>0.96757826723070706</v>
      </c>
      <c r="K24" s="158">
        <f>IF($B24=" ","",IFERROR(VLOOKUP($B24,MMWR_ACCURACY_RO[],MATCH(K$9,MMWR_ACCURACY_RO[#Headers],0),0),"ERROR"))</f>
        <v>0.93652447089947088</v>
      </c>
      <c r="L24" s="158">
        <f>IF($B24=" ","",IFERROR(VLOOKUP($B24,MMWR_ACCURACY_RO[],MATCH(L$9,MMWR_ACCURACY_RO[#Headers],0),0),"ERROR"))</f>
        <v>0.89573728179059775</v>
      </c>
      <c r="M24" s="158">
        <f>IF($B24=" ","",IFERROR(VLOOKUP($B24,MMWR_ACCURACY_RO[],MATCH(M$9,MMWR_ACCURACY_RO[#Headers],0),0),"ERROR"))</f>
        <v>4.1087996608787376E-2</v>
      </c>
      <c r="N24" s="158">
        <f>IF($B24=" ","",IFERROR(VLOOKUP($B24,MMWR_ACCURACY_RO[],MATCH(N$9,MMWR_ACCURACY_RO[#Headers],0),0),"ERROR"))</f>
        <v>0.87758619381468317</v>
      </c>
      <c r="O24" s="158">
        <f>IF($B24=" ","",IFERROR(VLOOKUP($B24,MMWR_ACCURACY_RO[],MATCH(O$9,MMWR_ACCURACY_RO[#Headers],0),0),"ERROR"))</f>
        <v>4.8405400501336189E-2</v>
      </c>
      <c r="P24" s="28"/>
    </row>
    <row r="25" spans="1:16" x14ac:dyDescent="0.2">
      <c r="A25" s="25"/>
      <c r="B25" s="8" t="str">
        <f>VLOOKUP($B$16,DISTRICT_RO[],10,0)</f>
        <v>Philadelphia VSC</v>
      </c>
      <c r="C25" s="154">
        <f>IF($B25=" ","",IFERROR(INDEX(MMWR_RATING_RO_ROLLUP[],MATCH($B25,MMWR_RATING_RO_ROLLUP[MMWR_RATING_RO_ROLLUP],0),MATCH(C$9,MMWR_RATING_RO_ROLLUP[#Headers],0)),"ERROR"))</f>
        <v>7715</v>
      </c>
      <c r="D25" s="155">
        <f>IF($B25=" ","",IFERROR(INDEX(MMWR_RATING_RO_ROLLUP[],MATCH($B25,MMWR_RATING_RO_ROLLUP[MMWR_RATING_RO_ROLLUP],0),MATCH(D$9,MMWR_RATING_RO_ROLLUP[#Headers],0)),"ERROR"))</f>
        <v>110.9401166559</v>
      </c>
      <c r="E25" s="156">
        <f>IF($B25=" ","",IFERROR(INDEX(MMWR_RATING_RO_ROLLUP[],MATCH($B25,MMWR_RATING_RO_ROLLUP[MMWR_RATING_RO_ROLLUP],0),MATCH(E$9,MMWR_RATING_RO_ROLLUP[#Headers],0))/$C25,"ERROR"))</f>
        <v>0.28632534024627349</v>
      </c>
      <c r="F25" s="154">
        <f>IF($B25=" ","",IFERROR(INDEX(MMWR_RATING_RO_ROLLUP[],MATCH($B25,MMWR_RATING_RO_ROLLUP[MMWR_RATING_RO_ROLLUP],0),MATCH(F$9,MMWR_RATING_RO_ROLLUP[#Headers],0)),"ERROR"))</f>
        <v>961</v>
      </c>
      <c r="G25" s="154">
        <f>IF($B25=" ","",IFERROR(INDEX(MMWR_RATING_RO_ROLLUP[],MATCH($B25,MMWR_RATING_RO_ROLLUP[MMWR_RATING_RO_ROLLUP],0),MATCH(G$9,MMWR_RATING_RO_ROLLUP[#Headers],0)),"ERROR"))</f>
        <v>5118</v>
      </c>
      <c r="H25" s="155">
        <f>IF($B25=" ","",IFERROR(INDEX(MMWR_RATING_RO_ROLLUP[],MATCH($B25,MMWR_RATING_RO_ROLLUP[MMWR_RATING_RO_ROLLUP],0),MATCH(H$9,MMWR_RATING_RO_ROLLUP[#Headers],0)),"ERROR"))</f>
        <v>153.4193548387</v>
      </c>
      <c r="I25" s="155">
        <f>IF($B25=" ","",IFERROR(INDEX(MMWR_RATING_RO_ROLLUP[],MATCH($B25,MMWR_RATING_RO_ROLLUP[MMWR_RATING_RO_ROLLUP],0),MATCH(I$9,MMWR_RATING_RO_ROLLUP[#Headers],0)),"ERROR"))</f>
        <v>157.8798358734</v>
      </c>
      <c r="J25" s="158">
        <f>IF($B25=" ","",IFERROR(VLOOKUP($B25,MMWR_ACCURACY_RO[],MATCH(J$9,MMWR_ACCURACY_RO[#Headers],0),0),"ERROR"))</f>
        <v>0.93158721710409353</v>
      </c>
      <c r="K25" s="158">
        <f>IF($B25=" ","",IFERROR(VLOOKUP($B25,MMWR_ACCURACY_RO[],MATCH(K$9,MMWR_ACCURACY_RO[#Headers],0),0),"ERROR"))</f>
        <v>0.85729969251431404</v>
      </c>
      <c r="L25" s="158">
        <f>IF($B25=" ","",IFERROR(VLOOKUP($B25,MMWR_ACCURACY_RO[],MATCH(L$9,MMWR_ACCURACY_RO[#Headers],0),0),"ERROR"))</f>
        <v>0.85304537237291767</v>
      </c>
      <c r="M25" s="158">
        <f>IF($B25=" ","",IFERROR(VLOOKUP($B25,MMWR_ACCURACY_RO[],MATCH(M$9,MMWR_ACCURACY_RO[#Headers],0),0),"ERROR"))</f>
        <v>5.1664924235531796E-2</v>
      </c>
      <c r="N25" s="158">
        <f>IF($B25=" ","",IFERROR(VLOOKUP($B25,MMWR_ACCURACY_RO[],MATCH(N$9,MMWR_ACCURACY_RO[#Headers],0),0),"ERROR"))</f>
        <v>0.89614431336532274</v>
      </c>
      <c r="O25" s="158">
        <f>IF($B25=" ","",IFERROR(VLOOKUP($B25,MMWR_ACCURACY_RO[],MATCH(O$9,MMWR_ACCURACY_RO[#Headers],0),0),"ERROR"))</f>
        <v>5.0575399016445033E-2</v>
      </c>
      <c r="P25" s="28"/>
    </row>
    <row r="26" spans="1:16" x14ac:dyDescent="0.2">
      <c r="A26" s="25"/>
      <c r="B26" s="8" t="str">
        <f>VLOOKUP($B$16,DISTRICT_RO[],11,0)</f>
        <v>Pittsburgh VSC</v>
      </c>
      <c r="C26" s="154">
        <f>IF($B26=" ","",IFERROR(INDEX(MMWR_RATING_RO_ROLLUP[],MATCH($B26,MMWR_RATING_RO_ROLLUP[MMWR_RATING_RO_ROLLUP],0),MATCH(C$9,MMWR_RATING_RO_ROLLUP[#Headers],0)),"ERROR"))</f>
        <v>4113</v>
      </c>
      <c r="D26" s="155">
        <f>IF($B26=" ","",IFERROR(INDEX(MMWR_RATING_RO_ROLLUP[],MATCH($B26,MMWR_RATING_RO_ROLLUP[MMWR_RATING_RO_ROLLUP],0),MATCH(D$9,MMWR_RATING_RO_ROLLUP[#Headers],0)),"ERROR"))</f>
        <v>125.4553853635</v>
      </c>
      <c r="E26" s="156">
        <f>IF($B26=" ","",IFERROR(INDEX(MMWR_RATING_RO_ROLLUP[],MATCH($B26,MMWR_RATING_RO_ROLLUP[MMWR_RATING_RO_ROLLUP],0),MATCH(E$9,MMWR_RATING_RO_ROLLUP[#Headers],0))/$C26,"ERROR"))</f>
        <v>0.35472890833941162</v>
      </c>
      <c r="F26" s="154">
        <f>IF($B26=" ","",IFERROR(INDEX(MMWR_RATING_RO_ROLLUP[],MATCH($B26,MMWR_RATING_RO_ROLLUP[MMWR_RATING_RO_ROLLUP],0),MATCH(F$9,MMWR_RATING_RO_ROLLUP[#Headers],0)),"ERROR"))</f>
        <v>382</v>
      </c>
      <c r="G26" s="154">
        <f>IF($B26=" ","",IFERROR(INDEX(MMWR_RATING_RO_ROLLUP[],MATCH($B26,MMWR_RATING_RO_ROLLUP[MMWR_RATING_RO_ROLLUP],0),MATCH(G$9,MMWR_RATING_RO_ROLLUP[#Headers],0)),"ERROR"))</f>
        <v>2191</v>
      </c>
      <c r="H26" s="155">
        <f>IF($B26=" ","",IFERROR(INDEX(MMWR_RATING_RO_ROLLUP[],MATCH($B26,MMWR_RATING_RO_ROLLUP[MMWR_RATING_RO_ROLLUP],0),MATCH(H$9,MMWR_RATING_RO_ROLLUP[#Headers],0)),"ERROR"))</f>
        <v>178.70157068060001</v>
      </c>
      <c r="I26" s="155">
        <f>IF($B26=" ","",IFERROR(INDEX(MMWR_RATING_RO_ROLLUP[],MATCH($B26,MMWR_RATING_RO_ROLLUP[MMWR_RATING_RO_ROLLUP],0),MATCH(I$9,MMWR_RATING_RO_ROLLUP[#Headers],0)),"ERROR"))</f>
        <v>182.63578274759999</v>
      </c>
      <c r="J26" s="158">
        <f>IF($B26=" ","",IFERROR(VLOOKUP($B26,MMWR_ACCURACY_RO[],MATCH(J$9,MMWR_ACCURACY_RO[#Headers],0),0),"ERROR"))</f>
        <v>0.93728469047914409</v>
      </c>
      <c r="K26" s="158">
        <f>IF($B26=" ","",IFERROR(VLOOKUP($B26,MMWR_ACCURACY_RO[],MATCH(K$9,MMWR_ACCURACY_RO[#Headers],0),0),"ERROR"))</f>
        <v>0.91372282608695632</v>
      </c>
      <c r="L26" s="158">
        <f>IF($B26=" ","",IFERROR(VLOOKUP($B26,MMWR_ACCURACY_RO[],MATCH(L$9,MMWR_ACCURACY_RO[#Headers],0),0),"ERROR"))</f>
        <v>0.90225378361763986</v>
      </c>
      <c r="M26" s="158">
        <f>IF($B26=" ","",IFERROR(VLOOKUP($B26,MMWR_ACCURACY_RO[],MATCH(M$9,MMWR_ACCURACY_RO[#Headers],0),0),"ERROR"))</f>
        <v>4.6078091657013973E-2</v>
      </c>
      <c r="N26" s="158">
        <f>IF($B26=" ","",IFERROR(VLOOKUP($B26,MMWR_ACCURACY_RO[],MATCH(N$9,MMWR_ACCURACY_RO[#Headers],0),0),"ERROR"))</f>
        <v>0.90688082335323483</v>
      </c>
      <c r="O26" s="158">
        <f>IF($B26=" ","",IFERROR(VLOOKUP($B26,MMWR_ACCURACY_RO[],MATCH(O$9,MMWR_ACCURACY_RO[#Headers],0),0),"ERROR"))</f>
        <v>5.8149289913883774E-2</v>
      </c>
      <c r="P26" s="28"/>
    </row>
    <row r="27" spans="1:16" x14ac:dyDescent="0.2">
      <c r="A27" s="25"/>
      <c r="B27" s="8" t="str">
        <f>VLOOKUP($B$16,DISTRICT_RO[],12,0)</f>
        <v>Providence VSC</v>
      </c>
      <c r="C27" s="154">
        <f>IF($B27=" ","",IFERROR(INDEX(MMWR_RATING_RO_ROLLUP[],MATCH($B27,MMWR_RATING_RO_ROLLUP[MMWR_RATING_RO_ROLLUP],0),MATCH(C$9,MMWR_RATING_RO_ROLLUP[#Headers],0)),"ERROR"))</f>
        <v>3791</v>
      </c>
      <c r="D27" s="155">
        <f>IF($B27=" ","",IFERROR(INDEX(MMWR_RATING_RO_ROLLUP[],MATCH($B27,MMWR_RATING_RO_ROLLUP[MMWR_RATING_RO_ROLLUP],0),MATCH(D$9,MMWR_RATING_RO_ROLLUP[#Headers],0)),"ERROR"))</f>
        <v>96.482986019500004</v>
      </c>
      <c r="E27" s="156">
        <f>IF($B27=" ","",IFERROR(INDEX(MMWR_RATING_RO_ROLLUP[],MATCH($B27,MMWR_RATING_RO_ROLLUP[MMWR_RATING_RO_ROLLUP],0),MATCH(E$9,MMWR_RATING_RO_ROLLUP[#Headers],0))/$C27,"ERROR"))</f>
        <v>0.26773938274861514</v>
      </c>
      <c r="F27" s="154">
        <f>IF($B27=" ","",IFERROR(INDEX(MMWR_RATING_RO_ROLLUP[],MATCH($B27,MMWR_RATING_RO_ROLLUP[MMWR_RATING_RO_ROLLUP],0),MATCH(F$9,MMWR_RATING_RO_ROLLUP[#Headers],0)),"ERROR"))</f>
        <v>955</v>
      </c>
      <c r="G27" s="154">
        <f>IF($B27=" ","",IFERROR(INDEX(MMWR_RATING_RO_ROLLUP[],MATCH($B27,MMWR_RATING_RO_ROLLUP[MMWR_RATING_RO_ROLLUP],0),MATCH(G$9,MMWR_RATING_RO_ROLLUP[#Headers],0)),"ERROR"))</f>
        <v>4908</v>
      </c>
      <c r="H27" s="155">
        <f>IF($B27=" ","",IFERROR(INDEX(MMWR_RATING_RO_ROLLUP[],MATCH($B27,MMWR_RATING_RO_ROLLUP[MMWR_RATING_RO_ROLLUP],0),MATCH(H$9,MMWR_RATING_RO_ROLLUP[#Headers],0)),"ERROR"))</f>
        <v>83.534031413600005</v>
      </c>
      <c r="I27" s="155">
        <f>IF($B27=" ","",IFERROR(INDEX(MMWR_RATING_RO_ROLLUP[],MATCH($B27,MMWR_RATING_RO_ROLLUP[MMWR_RATING_RO_ROLLUP],0),MATCH(I$9,MMWR_RATING_RO_ROLLUP[#Headers],0)),"ERROR"))</f>
        <v>80.214751426199996</v>
      </c>
      <c r="J27" s="158">
        <f>IF($B27=" ","",IFERROR(VLOOKUP($B27,MMWR_ACCURACY_RO[],MATCH(J$9,MMWR_ACCURACY_RO[#Headers],0),0),"ERROR"))</f>
        <v>0.97911338991892494</v>
      </c>
      <c r="K27" s="158">
        <f>IF($B27=" ","",IFERROR(VLOOKUP($B27,MMWR_ACCURACY_RO[],MATCH(K$9,MMWR_ACCURACY_RO[#Headers],0),0),"ERROR"))</f>
        <v>0.89053124542660622</v>
      </c>
      <c r="L27" s="158">
        <f>IF($B27=" ","",IFERROR(VLOOKUP($B27,MMWR_ACCURACY_RO[],MATCH(L$9,MMWR_ACCURACY_RO[#Headers],0),0),"ERROR"))</f>
        <v>0.86018663386136851</v>
      </c>
      <c r="M27" s="158">
        <f>IF($B27=" ","",IFERROR(VLOOKUP($B27,MMWR_ACCURACY_RO[],MATCH(M$9,MMWR_ACCURACY_RO[#Headers],0),0),"ERROR"))</f>
        <v>6.1464620544372295E-2</v>
      </c>
      <c r="N27" s="158">
        <f>IF($B27=" ","",IFERROR(VLOOKUP($B27,MMWR_ACCURACY_RO[],MATCH(N$9,MMWR_ACCURACY_RO[#Headers],0),0),"ERROR"))</f>
        <v>0.96005313597115471</v>
      </c>
      <c r="O27" s="158">
        <f>IF($B27=" ","",IFERROR(VLOOKUP($B27,MMWR_ACCURACY_RO[],MATCH(O$9,MMWR_ACCURACY_RO[#Headers],0),0),"ERROR"))</f>
        <v>3.2610188355958414E-2</v>
      </c>
      <c r="P27" s="28"/>
    </row>
    <row r="28" spans="1:16" x14ac:dyDescent="0.2">
      <c r="A28" s="25"/>
      <c r="B28" s="8" t="str">
        <f>VLOOKUP($B$16,DISTRICT_RO[],13,0)</f>
        <v>Roanoke VSC</v>
      </c>
      <c r="C28" s="154">
        <f>IF($B28=" ","",IFERROR(INDEX(MMWR_RATING_RO_ROLLUP[],MATCH($B28,MMWR_RATING_RO_ROLLUP[MMWR_RATING_RO_ROLLUP],0),MATCH(C$9,MMWR_RATING_RO_ROLLUP[#Headers],0)),"ERROR"))</f>
        <v>11025</v>
      </c>
      <c r="D28" s="155">
        <f>IF($B28=" ","",IFERROR(INDEX(MMWR_RATING_RO_ROLLUP[],MATCH($B28,MMWR_RATING_RO_ROLLUP[MMWR_RATING_RO_ROLLUP],0),MATCH(D$9,MMWR_RATING_RO_ROLLUP[#Headers],0)),"ERROR"))</f>
        <v>85.001723355999999</v>
      </c>
      <c r="E28" s="156">
        <f>IF($B28=" ","",IFERROR(INDEX(MMWR_RATING_RO_ROLLUP[],MATCH($B28,MMWR_RATING_RO_ROLLUP[MMWR_RATING_RO_ROLLUP],0),MATCH(E$9,MMWR_RATING_RO_ROLLUP[#Headers],0))/$C28,"ERROR"))</f>
        <v>0.17260770975056688</v>
      </c>
      <c r="F28" s="154">
        <f>IF($B28=" ","",IFERROR(INDEX(MMWR_RATING_RO_ROLLUP[],MATCH($B28,MMWR_RATING_RO_ROLLUP[MMWR_RATING_RO_ROLLUP],0),MATCH(F$9,MMWR_RATING_RO_ROLLUP[#Headers],0)),"ERROR"))</f>
        <v>960</v>
      </c>
      <c r="G28" s="154">
        <f>IF($B28=" ","",IFERROR(INDEX(MMWR_RATING_RO_ROLLUP[],MATCH($B28,MMWR_RATING_RO_ROLLUP[MMWR_RATING_RO_ROLLUP],0),MATCH(G$9,MMWR_RATING_RO_ROLLUP[#Headers],0)),"ERROR"))</f>
        <v>6427</v>
      </c>
      <c r="H28" s="155">
        <f>IF($B28=" ","",IFERROR(INDEX(MMWR_RATING_RO_ROLLUP[],MATCH($B28,MMWR_RATING_RO_ROLLUP[MMWR_RATING_RO_ROLLUP],0),MATCH(H$9,MMWR_RATING_RO_ROLLUP[#Headers],0)),"ERROR"))</f>
        <v>159.16458333329999</v>
      </c>
      <c r="I28" s="155">
        <f>IF($B28=" ","",IFERROR(INDEX(MMWR_RATING_RO_ROLLUP[],MATCH($B28,MMWR_RATING_RO_ROLLUP[MMWR_RATING_RO_ROLLUP],0),MATCH(I$9,MMWR_RATING_RO_ROLLUP[#Headers],0)),"ERROR"))</f>
        <v>140.63124319280001</v>
      </c>
      <c r="J28" s="158">
        <f>IF($B28=" ","",IFERROR(VLOOKUP($B28,MMWR_ACCURACY_RO[],MATCH(J$9,MMWR_ACCURACY_RO[#Headers],0),0),"ERROR"))</f>
        <v>0.97291607013525128</v>
      </c>
      <c r="K28" s="158">
        <f>IF($B28=" ","",IFERROR(VLOOKUP($B28,MMWR_ACCURACY_RO[],MATCH(K$9,MMWR_ACCURACY_RO[#Headers],0),0),"ERROR"))</f>
        <v>0.88675258821043745</v>
      </c>
      <c r="L28" s="158">
        <f>IF($B28=" ","",IFERROR(VLOOKUP($B28,MMWR_ACCURACY_RO[],MATCH(L$9,MMWR_ACCURACY_RO[#Headers],0),0),"ERROR"))</f>
        <v>0.91133575615934925</v>
      </c>
      <c r="M28" s="158">
        <f>IF($B28=" ","",IFERROR(VLOOKUP($B28,MMWR_ACCURACY_RO[],MATCH(M$9,MMWR_ACCURACY_RO[#Headers],0),0),"ERROR"))</f>
        <v>4.6944990940559352E-2</v>
      </c>
      <c r="N28" s="158">
        <f>IF($B28=" ","",IFERROR(VLOOKUP($B28,MMWR_ACCURACY_RO[],MATCH(N$9,MMWR_ACCURACY_RO[#Headers],0),0),"ERROR"))</f>
        <v>0.90729634074541965</v>
      </c>
      <c r="O28" s="158">
        <f>IF($B28=" ","",IFERROR(VLOOKUP($B28,MMWR_ACCURACY_RO[],MATCH(O$9,MMWR_ACCURACY_RO[#Headers],0),0),"ERROR"))</f>
        <v>4.4813108918778252E-2</v>
      </c>
      <c r="P28" s="28"/>
    </row>
    <row r="29" spans="1:16" x14ac:dyDescent="0.2">
      <c r="A29" s="25"/>
      <c r="B29" s="8" t="str">
        <f>VLOOKUP($B$16,DISTRICT_RO[],14,0)</f>
        <v>Togus VSC</v>
      </c>
      <c r="C29" s="154">
        <f>IF($B29=" ","",IFERROR(INDEX(MMWR_RATING_RO_ROLLUP[],MATCH($B29,MMWR_RATING_RO_ROLLUP[MMWR_RATING_RO_ROLLUP],0),MATCH(C$9,MMWR_RATING_RO_ROLLUP[#Headers],0)),"ERROR"))</f>
        <v>6149</v>
      </c>
      <c r="D29" s="155">
        <f>IF($B29=" ","",IFERROR(INDEX(MMWR_RATING_RO_ROLLUP[],MATCH($B29,MMWR_RATING_RO_ROLLUP[MMWR_RATING_RO_ROLLUP],0),MATCH(D$9,MMWR_RATING_RO_ROLLUP[#Headers],0)),"ERROR"))</f>
        <v>88.058546105100007</v>
      </c>
      <c r="E29" s="156">
        <f>IF($B29=" ","",IFERROR(INDEX(MMWR_RATING_RO_ROLLUP[],MATCH($B29,MMWR_RATING_RO_ROLLUP[MMWR_RATING_RO_ROLLUP],0),MATCH(E$9,MMWR_RATING_RO_ROLLUP[#Headers],0))/$C29,"ERROR"))</f>
        <v>0.18799804846316473</v>
      </c>
      <c r="F29" s="154">
        <f>IF($B29=" ","",IFERROR(INDEX(MMWR_RATING_RO_ROLLUP[],MATCH($B29,MMWR_RATING_RO_ROLLUP[MMWR_RATING_RO_ROLLUP],0),MATCH(F$9,MMWR_RATING_RO_ROLLUP[#Headers],0)),"ERROR"))</f>
        <v>639</v>
      </c>
      <c r="G29" s="154">
        <f>IF($B29=" ","",IFERROR(INDEX(MMWR_RATING_RO_ROLLUP[],MATCH($B29,MMWR_RATING_RO_ROLLUP[MMWR_RATING_RO_ROLLUP],0),MATCH(G$9,MMWR_RATING_RO_ROLLUP[#Headers],0)),"ERROR"))</f>
        <v>3682</v>
      </c>
      <c r="H29" s="155">
        <f>IF($B29=" ","",IFERROR(INDEX(MMWR_RATING_RO_ROLLUP[],MATCH($B29,MMWR_RATING_RO_ROLLUP[MMWR_RATING_RO_ROLLUP],0),MATCH(H$9,MMWR_RATING_RO_ROLLUP[#Headers],0)),"ERROR"))</f>
        <v>137.1251956182</v>
      </c>
      <c r="I29" s="155">
        <f>IF($B29=" ","",IFERROR(INDEX(MMWR_RATING_RO_ROLLUP[],MATCH($B29,MMWR_RATING_RO_ROLLUP[MMWR_RATING_RO_ROLLUP],0),MATCH(I$9,MMWR_RATING_RO_ROLLUP[#Headers],0)),"ERROR"))</f>
        <v>130.93128734379999</v>
      </c>
      <c r="J29" s="158">
        <f>IF($B29=" ","",IFERROR(VLOOKUP($B29,MMWR_ACCURACY_RO[],MATCH(J$9,MMWR_ACCURACY_RO[#Headers],0),0),"ERROR"))</f>
        <v>0.95440717080048665</v>
      </c>
      <c r="K29" s="158">
        <f>IF($B29=" ","",IFERROR(VLOOKUP($B29,MMWR_ACCURACY_RO[],MATCH(K$9,MMWR_ACCURACY_RO[#Headers],0),0),"ERROR"))</f>
        <v>0.85704514363885087</v>
      </c>
      <c r="L29" s="158">
        <f>IF($B29=" ","",IFERROR(VLOOKUP($B29,MMWR_ACCURACY_RO[],MATCH(L$9,MMWR_ACCURACY_RO[#Headers],0),0),"ERROR"))</f>
        <v>0.87950874020494285</v>
      </c>
      <c r="M29" s="158">
        <f>IF($B29=" ","",IFERROR(VLOOKUP($B29,MMWR_ACCURACY_RO[],MATCH(M$9,MMWR_ACCURACY_RO[#Headers],0),0),"ERROR"))</f>
        <v>5.7898165484844173E-2</v>
      </c>
      <c r="N29" s="158">
        <f>IF($B29=" ","",IFERROR(VLOOKUP($B29,MMWR_ACCURACY_RO[],MATCH(N$9,MMWR_ACCURACY_RO[#Headers],0),0),"ERROR"))</f>
        <v>0.96351773426110754</v>
      </c>
      <c r="O29" s="158">
        <f>IF($B29=" ","",IFERROR(VLOOKUP($B29,MMWR_ACCURACY_RO[],MATCH(O$9,MMWR_ACCURACY_RO[#Headers],0),0),"ERROR"))</f>
        <v>3.6233483577180439E-2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652</v>
      </c>
      <c r="D30" s="155">
        <f>IF($B30=" ","",IFERROR(INDEX(MMWR_RATING_RO_ROLLUP[],MATCH($B30,MMWR_RATING_RO_ROLLUP[MMWR_RATING_RO_ROLLUP],0),MATCH(D$9,MMWR_RATING_RO_ROLLUP[#Headers],0)),"ERROR"))</f>
        <v>118.20858895710001</v>
      </c>
      <c r="E30" s="156">
        <f>IF($B30=" ","",IFERROR(INDEX(MMWR_RATING_RO_ROLLUP[],MATCH($B30,MMWR_RATING_RO_ROLLUP[MMWR_RATING_RO_ROLLUP],0),MATCH(E$9,MMWR_RATING_RO_ROLLUP[#Headers],0))/$C30,"ERROR"))</f>
        <v>0.3834355828220859</v>
      </c>
      <c r="F30" s="154">
        <f>IF($B30=" ","",IFERROR(INDEX(MMWR_RATING_RO_ROLLUP[],MATCH($B30,MMWR_RATING_RO_ROLLUP[MMWR_RATING_RO_ROLLUP],0),MATCH(F$9,MMWR_RATING_RO_ROLLUP[#Headers],0)),"ERROR"))</f>
        <v>62</v>
      </c>
      <c r="G30" s="154">
        <f>IF($B30=" ","",IFERROR(INDEX(MMWR_RATING_RO_ROLLUP[],MATCH($B30,MMWR_RATING_RO_ROLLUP[MMWR_RATING_RO_ROLLUP],0),MATCH(G$9,MMWR_RATING_RO_ROLLUP[#Headers],0)),"ERROR"))</f>
        <v>335</v>
      </c>
      <c r="H30" s="155">
        <f>IF($B30=" ","",IFERROR(INDEX(MMWR_RATING_RO_ROLLUP[],MATCH($B30,MMWR_RATING_RO_ROLLUP[MMWR_RATING_RO_ROLLUP],0),MATCH(H$9,MMWR_RATING_RO_ROLLUP[#Headers],0)),"ERROR"))</f>
        <v>181.61290322580001</v>
      </c>
      <c r="I30" s="155">
        <f>IF($B30=" ","",IFERROR(INDEX(MMWR_RATING_RO_ROLLUP[],MATCH($B30,MMWR_RATING_RO_ROLLUP[MMWR_RATING_RO_ROLLUP],0),MATCH(I$9,MMWR_RATING_RO_ROLLUP[#Headers],0)),"ERROR"))</f>
        <v>169.88059701489999</v>
      </c>
      <c r="J30" s="158">
        <f>IF($B30=" ","",IFERROR(VLOOKUP($B30,MMWR_ACCURACY_RO[],MATCH(J$9,MMWR_ACCURACY_RO[#Headers],0),0),"ERROR"))</f>
        <v>0.91214507250191712</v>
      </c>
      <c r="K30" s="158">
        <f>IF($B30=" ","",IFERROR(VLOOKUP($B30,MMWR_ACCURACY_RO[],MATCH(K$9,MMWR_ACCURACY_RO[#Headers],0),0),"ERROR"))</f>
        <v>0.90478101352900708</v>
      </c>
      <c r="L30" s="158">
        <f>IF($B30=" ","",IFERROR(VLOOKUP($B30,MMWR_ACCURACY_RO[],MATCH(L$9,MMWR_ACCURACY_RO[#Headers],0),0),"ERROR"))</f>
        <v>0.83858473647846088</v>
      </c>
      <c r="M30" s="158">
        <f>IF($B30=" ","",IFERROR(VLOOKUP($B30,MMWR_ACCURACY_RO[],MATCH(M$9,MMWR_ACCURACY_RO[#Headers],0),0),"ERROR"))</f>
        <v>5.2137911435447111E-2</v>
      </c>
      <c r="N30" s="158">
        <f>IF($B30=" ","",IFERROR(VLOOKUP($B30,MMWR_ACCURACY_RO[],MATCH(N$9,MMWR_ACCURACY_RO[#Headers],0),0),"ERROR"))</f>
        <v>0.91495057932046953</v>
      </c>
      <c r="O30" s="158">
        <f>IF($B30=" ","",IFERROR(VLOOKUP($B30,MMWR_ACCURACY_RO[],MATCH(O$9,MMWR_ACCURACY_RO[#Headers],0),0),"ERROR"))</f>
        <v>3.50815182990592E-2</v>
      </c>
      <c r="P30" s="28"/>
    </row>
    <row r="31" spans="1:16" x14ac:dyDescent="0.2">
      <c r="A31" s="25"/>
      <c r="B31" s="8" t="str">
        <f>VLOOKUP($B$16,DISTRICT_RO[],16,0)</f>
        <v>Wilmington VSC</v>
      </c>
      <c r="C31" s="154">
        <f>IF($B31=" ","",IFERROR(INDEX(MMWR_RATING_RO_ROLLUP[],MATCH($B31,MMWR_RATING_RO_ROLLUP[MMWR_RATING_RO_ROLLUP],0),MATCH(C$9,MMWR_RATING_RO_ROLLUP[#Headers],0)),"ERROR"))</f>
        <v>500</v>
      </c>
      <c r="D31" s="155">
        <f>IF($B31=" ","",IFERROR(INDEX(MMWR_RATING_RO_ROLLUP[],MATCH($B31,MMWR_RATING_RO_ROLLUP[MMWR_RATING_RO_ROLLUP],0),MATCH(D$9,MMWR_RATING_RO_ROLLUP[#Headers],0)),"ERROR"))</f>
        <v>80.617999999999995</v>
      </c>
      <c r="E31" s="156">
        <f>IF($B31=" ","",IFERROR(INDEX(MMWR_RATING_RO_ROLLUP[],MATCH($B31,MMWR_RATING_RO_ROLLUP[MMWR_RATING_RO_ROLLUP],0),MATCH(E$9,MMWR_RATING_RO_ROLLUP[#Headers],0))/$C31,"ERROR"))</f>
        <v>0.24199999999999999</v>
      </c>
      <c r="F31" s="154">
        <f>IF($B31=" ","",IFERROR(INDEX(MMWR_RATING_RO_ROLLUP[],MATCH($B31,MMWR_RATING_RO_ROLLUP[MMWR_RATING_RO_ROLLUP],0),MATCH(F$9,MMWR_RATING_RO_ROLLUP[#Headers],0)),"ERROR"))</f>
        <v>37</v>
      </c>
      <c r="G31" s="154">
        <f>IF($B31=" ","",IFERROR(INDEX(MMWR_RATING_RO_ROLLUP[],MATCH($B31,MMWR_RATING_RO_ROLLUP[MMWR_RATING_RO_ROLLUP],0),MATCH(G$9,MMWR_RATING_RO_ROLLUP[#Headers],0)),"ERROR"))</f>
        <v>243</v>
      </c>
      <c r="H31" s="155">
        <f>IF($B31=" ","",IFERROR(INDEX(MMWR_RATING_RO_ROLLUP[],MATCH($B31,MMWR_RATING_RO_ROLLUP[MMWR_RATING_RO_ROLLUP],0),MATCH(H$9,MMWR_RATING_RO_ROLLUP[#Headers],0)),"ERROR"))</f>
        <v>110.05405405410001</v>
      </c>
      <c r="I31" s="155">
        <f>IF($B31=" ","",IFERROR(INDEX(MMWR_RATING_RO_ROLLUP[],MATCH($B31,MMWR_RATING_RO_ROLLUP[MMWR_RATING_RO_ROLLUP],0),MATCH(I$9,MMWR_RATING_RO_ROLLUP[#Headers],0)),"ERROR"))</f>
        <v>112.4567901235</v>
      </c>
      <c r="J31" s="158">
        <f>IF($B31=" ","",IFERROR(VLOOKUP($B31,MMWR_ACCURACY_RO[],MATCH(J$9,MMWR_ACCURACY_RO[#Headers],0),0),"ERROR"))</f>
        <v>0.94521731616693994</v>
      </c>
      <c r="K31" s="158">
        <f>IF($B31=" ","",IFERROR(VLOOKUP($B31,MMWR_ACCURACY_RO[],MATCH(K$9,MMWR_ACCURACY_RO[#Headers],0),0),"ERROR"))</f>
        <v>0.7981404240528327</v>
      </c>
      <c r="L31" s="158">
        <f>IF($B31=" ","",IFERROR(VLOOKUP($B31,MMWR_ACCURACY_RO[],MATCH(L$9,MMWR_ACCURACY_RO[#Headers],0),0),"ERROR"))</f>
        <v>0.8499168612467275</v>
      </c>
      <c r="M31" s="158">
        <f>IF($B31=" ","",IFERROR(VLOOKUP($B31,MMWR_ACCURACY_RO[],MATCH(M$9,MMWR_ACCURACY_RO[#Headers],0),0),"ERROR"))</f>
        <v>4.749099326376488E-2</v>
      </c>
      <c r="N31" s="158">
        <f>IF($B31=" ","",IFERROR(VLOOKUP($B31,MMWR_ACCURACY_RO[],MATCH(N$9,MMWR_ACCURACY_RO[#Headers],0),0),"ERROR"))</f>
        <v>0.87817539224273178</v>
      </c>
      <c r="O31" s="158">
        <f>IF($B31=" ","",IFERROR(VLOOKUP($B31,MMWR_ACCURACY_RO[],MATCH(O$9,MMWR_ACCURACY_RO[#Headers],0),0),"ERROR"))</f>
        <v>5.41667253402629E-2</v>
      </c>
      <c r="P31" s="28"/>
    </row>
    <row r="32" spans="1:16" x14ac:dyDescent="0.2">
      <c r="A32" s="25"/>
      <c r="B32" s="8" t="str">
        <f>VLOOKUP($B$16,DISTRICT_RO[],17,0)</f>
        <v>Winston-Salem VSC</v>
      </c>
      <c r="C32" s="154">
        <f>IF($B32=" ","",IFERROR(INDEX(MMWR_RATING_RO_ROLLUP[],MATCH($B32,MMWR_RATING_RO_ROLLUP[MMWR_RATING_RO_ROLLUP],0),MATCH(C$9,MMWR_RATING_RO_ROLLUP[#Headers],0)),"ERROR"))</f>
        <v>10624</v>
      </c>
      <c r="D32" s="155">
        <f>IF($B32=" ","",IFERROR(INDEX(MMWR_RATING_RO_ROLLUP[],MATCH($B32,MMWR_RATING_RO_ROLLUP[MMWR_RATING_RO_ROLLUP],0),MATCH(D$9,MMWR_RATING_RO_ROLLUP[#Headers],0)),"ERROR"))</f>
        <v>87.366716867500003</v>
      </c>
      <c r="E32" s="156">
        <f>IF($B32=" ","",IFERROR(INDEX(MMWR_RATING_RO_ROLLUP[],MATCH($B32,MMWR_RATING_RO_ROLLUP[MMWR_RATING_RO_ROLLUP],0),MATCH(E$9,MMWR_RATING_RO_ROLLUP[#Headers],0))/$C32,"ERROR"))</f>
        <v>0.21987951807228914</v>
      </c>
      <c r="F32" s="154">
        <f>IF($B32=" ","",IFERROR(INDEX(MMWR_RATING_RO_ROLLUP[],MATCH($B32,MMWR_RATING_RO_ROLLUP[MMWR_RATING_RO_ROLLUP],0),MATCH(F$9,MMWR_RATING_RO_ROLLUP[#Headers],0)),"ERROR"))</f>
        <v>1196</v>
      </c>
      <c r="G32" s="154">
        <f>IF($B32=" ","",IFERROR(INDEX(MMWR_RATING_RO_ROLLUP[],MATCH($B32,MMWR_RATING_RO_ROLLUP[MMWR_RATING_RO_ROLLUP],0),MATCH(G$9,MMWR_RATING_RO_ROLLUP[#Headers],0)),"ERROR"))</f>
        <v>6677</v>
      </c>
      <c r="H32" s="155">
        <f>IF($B32=" ","",IFERROR(INDEX(MMWR_RATING_RO_ROLLUP[],MATCH($B32,MMWR_RATING_RO_ROLLUP[MMWR_RATING_RO_ROLLUP],0),MATCH(H$9,MMWR_RATING_RO_ROLLUP[#Headers],0)),"ERROR"))</f>
        <v>136.38963210700001</v>
      </c>
      <c r="I32" s="155">
        <f>IF($B32=" ","",IFERROR(INDEX(MMWR_RATING_RO_ROLLUP[],MATCH($B32,MMWR_RATING_RO_ROLLUP[MMWR_RATING_RO_ROLLUP],0),MATCH(I$9,MMWR_RATING_RO_ROLLUP[#Headers],0)),"ERROR"))</f>
        <v>143.5150516699</v>
      </c>
      <c r="J32" s="158">
        <f>IF($B32=" ","",IFERROR(VLOOKUP($B32,MMWR_ACCURACY_RO[],MATCH(J$9,MMWR_ACCURACY_RO[#Headers],0),0),"ERROR"))</f>
        <v>0.97529361743180709</v>
      </c>
      <c r="K32" s="158">
        <f>IF($B32=" ","",IFERROR(VLOOKUP($B32,MMWR_ACCURACY_RO[],MATCH(K$9,MMWR_ACCURACY_RO[#Headers],0),0),"ERROR"))</f>
        <v>0.93181782321941364</v>
      </c>
      <c r="L32" s="158">
        <f>IF($B32=" ","",IFERROR(VLOOKUP($B32,MMWR_ACCURACY_RO[],MATCH(L$9,MMWR_ACCURACY_RO[#Headers],0),0),"ERROR"))</f>
        <v>0.83822838995775883</v>
      </c>
      <c r="M32" s="158">
        <f>IF($B32=" ","",IFERROR(VLOOKUP($B32,MMWR_ACCURACY_RO[],MATCH(M$9,MMWR_ACCURACY_RO[#Headers],0),0),"ERROR"))</f>
        <v>5.2545878659911976E-2</v>
      </c>
      <c r="N32" s="158">
        <f>IF($B32=" ","",IFERROR(VLOOKUP($B32,MMWR_ACCURACY_RO[],MATCH(N$9,MMWR_ACCURACY_RO[#Headers],0),0),"ERROR"))</f>
        <v>0.94594417650063789</v>
      </c>
      <c r="O32" s="158">
        <f>IF($B32=" ","",IFERROR(VLOOKUP($B32,MMWR_ACCURACY_RO[],MATCH(O$9,MMWR_ACCURACY_RO[#Headers],0),0),"ERROR"))</f>
        <v>3.6984565396134171E-2</v>
      </c>
      <c r="P32" s="28"/>
    </row>
    <row r="33" spans="1:16" x14ac:dyDescent="0.2">
      <c r="A33" s="25"/>
      <c r="B33" s="342" t="s">
        <v>740</v>
      </c>
      <c r="C33" s="343"/>
      <c r="D33" s="343"/>
      <c r="E33" s="343"/>
      <c r="F33" s="343"/>
      <c r="G33" s="343"/>
      <c r="H33" s="343"/>
      <c r="I33" s="343"/>
      <c r="J33" s="343"/>
      <c r="K33" s="343"/>
      <c r="L33" s="343"/>
      <c r="M33" s="343"/>
      <c r="N33" s="343"/>
      <c r="O33" s="343"/>
      <c r="P33" s="28"/>
    </row>
    <row r="34" spans="1:16" x14ac:dyDescent="0.2">
      <c r="A34" s="25"/>
      <c r="B34" s="11" t="s">
        <v>703</v>
      </c>
      <c r="C34" s="154">
        <f>IF($B34=" ","",IFERROR(INDEX(MMWR_RATING_RO_ROLLUP[],MATCH($B34,MMWR_RATING_RO_ROLLUP[MMWR_RATING_RO_ROLLUP],0),MATCH(C$9,MMWR_RATING_RO_ROLLUP[#Headers],0)),"ERROR"))</f>
        <v>26172</v>
      </c>
      <c r="D34" s="155">
        <f>IF($B34=" ","",IFERROR(INDEX(MMWR_RATING_RO_ROLLUP[],MATCH($B34,MMWR_RATING_RO_ROLLUP[MMWR_RATING_RO_ROLLUP],0),MATCH(D$9,MMWR_RATING_RO_ROLLUP[#Headers],0)),"ERROR"))</f>
        <v>64.723597737999995</v>
      </c>
      <c r="E34" s="156">
        <f>IF($B34=" ","",IFERROR(INDEX(MMWR_RATING_RO_ROLLUP[],MATCH($B34,MMWR_RATING_RO_ROLLUP[MMWR_RATING_RO_ROLLUP],0),MATCH(E$9,MMWR_RATING_RO_ROLLUP[#Headers],0))/$C34,"ERROR"))</f>
        <v>8.658107901574201E-2</v>
      </c>
      <c r="F34" s="154">
        <f>IF($B34=" ","",IFERROR(INDEX(MMWR_RATING_RO_ROLLUP[],MATCH($B34,MMWR_RATING_RO_ROLLUP[MMWR_RATING_RO_ROLLUP],0),MATCH(F$9,MMWR_RATING_RO_ROLLUP[#Headers],0)),"ERROR"))</f>
        <v>5070</v>
      </c>
      <c r="G34" s="154">
        <f>IF($B34=" ","",IFERROR(INDEX(MMWR_RATING_RO_ROLLUP[],MATCH($B34,MMWR_RATING_RO_ROLLUP[MMWR_RATING_RO_ROLLUP],0),MATCH(G$9,MMWR_RATING_RO_ROLLUP[#Headers],0)),"ERROR"))</f>
        <v>28622</v>
      </c>
      <c r="H34" s="155">
        <f>IF($B34=" ","",IFERROR(INDEX(MMWR_RATING_RO_ROLLUP[],MATCH($B34,MMWR_RATING_RO_ROLLUP[MMWR_RATING_RO_ROLLUP],0),MATCH(H$9,MMWR_RATING_RO_ROLLUP[#Headers],0)),"ERROR"))</f>
        <v>76.250493096599996</v>
      </c>
      <c r="I34" s="155">
        <f>IF($B34=" ","",IFERROR(INDEX(MMWR_RATING_RO_ROLLUP[],MATCH($B34,MMWR_RATING_RO_ROLLUP[MMWR_RATING_RO_ROLLUP],0),MATCH(I$9,MMWR_RATING_RO_ROLLUP[#Headers],0)),"ERROR"))</f>
        <v>70.697260848300004</v>
      </c>
      <c r="J34" s="42"/>
      <c r="K34" s="263">
        <f>IF($B34=" ","",IFERROR(VLOOKUP($B34,MMWR_ACCURACY_RO[],MATCH(K$50,MMWR_ACCURACY_RO[#Headers],0),0),"ERROR"))</f>
        <v>0.96188671939819681</v>
      </c>
      <c r="L34" s="263">
        <f>IF($B34=" ","",IFERROR(VLOOKUP($B34,MMWR_ACCURACY_RO[],MATCH(L$50,MMWR_ACCURACY_RO[#Headers],0),0),"ERROR"))</f>
        <v>0.95934109688177616</v>
      </c>
      <c r="M34" s="263">
        <f>IF($B34=" ","",IFERROR(VLOOKUP($B34,MMWR_ACCURACY_RO[],MATCH(M$50,MMWR_ACCURACY_RO[#Headers],0),0),"ERROR"))</f>
        <v>1.7480490378684124E-2</v>
      </c>
      <c r="N34" s="263">
        <f>IF($B34=" ","",IFERROR(VLOOKUP($B34,MMWR_ACCURACY_RO[],MATCH(N$50,MMWR_ACCURACY_RO[#Headers],0),0),"ERROR"))</f>
        <v>0.96265060511142908</v>
      </c>
      <c r="O34" s="263">
        <f>IF($B34=" ","",IFERROR(VLOOKUP($B34,MMWR_ACCURACY_RO[],MATCH(O$50,MMWR_ACCURACY_RO[#Headers],0),0),"ERROR"))</f>
        <v>1.9031103282115536E-2</v>
      </c>
      <c r="P34" s="28"/>
    </row>
    <row r="35" spans="1:16" x14ac:dyDescent="0.2">
      <c r="A35" s="25"/>
      <c r="B35" s="12" t="s">
        <v>216</v>
      </c>
      <c r="C35" s="154">
        <f>IF($B35=" ","",IFERROR(INDEX(MMWR_RATING_RO_ROLLUP[],MATCH($B35,MMWR_RATING_RO_ROLLUP[MMWR_RATING_RO_ROLLUP],0),MATCH(C$9,MMWR_RATING_RO_ROLLUP[#Headers],0)),"ERROR"))</f>
        <v>11350</v>
      </c>
      <c r="D35" s="155">
        <f>IF($B35=" ","",IFERROR(INDEX(MMWR_RATING_RO_ROLLUP[],MATCH($B35,MMWR_RATING_RO_ROLLUP[MMWR_RATING_RO_ROLLUP],0),MATCH(D$9,MMWR_RATING_RO_ROLLUP[#Headers],0)),"ERROR"))</f>
        <v>63.333039647600003</v>
      </c>
      <c r="E35" s="156">
        <f>IF($B35=" ","",IFERROR(INDEX(MMWR_RATING_RO_ROLLUP[],MATCH($B35,MMWR_RATING_RO_ROLLUP[MMWR_RATING_RO_ROLLUP],0),MATCH(E$9,MMWR_RATING_RO_ROLLUP[#Headers],0))/$C35,"ERROR"))</f>
        <v>8.3259911894273134E-2</v>
      </c>
      <c r="F35" s="154">
        <f>IF($B35=" ","",IFERROR(INDEX(MMWR_RATING_RO_ROLLUP[],MATCH($B35,MMWR_RATING_RO_ROLLUP[MMWR_RATING_RO_ROLLUP],0),MATCH(F$9,MMWR_RATING_RO_ROLLUP[#Headers],0)),"ERROR"))</f>
        <v>1640</v>
      </c>
      <c r="G35" s="154">
        <f>IF($B35=" ","",IFERROR(INDEX(MMWR_RATING_RO_ROLLUP[],MATCH($B35,MMWR_RATING_RO_ROLLUP[MMWR_RATING_RO_ROLLUP],0),MATCH(G$9,MMWR_RATING_RO_ROLLUP[#Headers],0)),"ERROR"))</f>
        <v>8958</v>
      </c>
      <c r="H35" s="155">
        <f>IF($B35=" ","",IFERROR(INDEX(MMWR_RATING_RO_ROLLUP[],MATCH($B35,MMWR_RATING_RO_ROLLUP[MMWR_RATING_RO_ROLLUP],0),MATCH(H$9,MMWR_RATING_RO_ROLLUP[#Headers],0)),"ERROR"))</f>
        <v>88.343902439000004</v>
      </c>
      <c r="I35" s="155">
        <f>IF($B35=" ","",IFERROR(INDEX(MMWR_RATING_RO_ROLLUP[],MATCH($B35,MMWR_RATING_RO_ROLLUP[MMWR_RATING_RO_ROLLUP],0),MATCH(I$9,MMWR_RATING_RO_ROLLUP[#Headers],0)),"ERROR"))</f>
        <v>83.224380442099999</v>
      </c>
      <c r="J35" s="42"/>
      <c r="K35" s="252">
        <f>IF($B35=" ","",IFERROR(VLOOKUP($B35,MMWR_ACCURACY_RO[],MATCH(K$50,MMWR_ACCURACY_RO[#Headers],0),0),"ERROR"))</f>
        <v>0.91336575930824593</v>
      </c>
      <c r="L35" s="252">
        <f>IF($B35=" ","",IFERROR(VLOOKUP($B35,MMWR_ACCURACY_RO[],MATCH(L$50,MMWR_ACCURACY_RO[#Headers],0),0),"ERROR"))</f>
        <v>0.93702961093243231</v>
      </c>
      <c r="M35" s="252">
        <f>IF($B35=" ","",IFERROR(VLOOKUP($B35,MMWR_ACCURACY_RO[],MATCH(M$50,MMWR_ACCURACY_RO[#Headers],0),0),"ERROR"))</f>
        <v>4.0278478343888792E-2</v>
      </c>
      <c r="N35" s="252">
        <f>IF($B35=" ","",IFERROR(VLOOKUP($B35,MMWR_ACCURACY_RO[],MATCH(N$50,MMWR_ACCURACY_RO[#Headers],0),0),"ERROR"))</f>
        <v>0.92517387991315747</v>
      </c>
      <c r="O35" s="252">
        <f>IF($B35=" ","",IFERROR(VLOOKUP($B35,MMWR_ACCURACY_RO[],MATCH(O$50,MMWR_ACCURACY_RO[#Headers],0),0),"ERROR"))</f>
        <v>4.8773435007311787E-2</v>
      </c>
      <c r="P35" s="28"/>
    </row>
    <row r="36" spans="1:16" x14ac:dyDescent="0.2">
      <c r="A36" s="43"/>
      <c r="B36" s="12" t="s">
        <v>215</v>
      </c>
      <c r="C36" s="154">
        <f>IF($B36=" ","",IFERROR(INDEX(MMWR_RATING_RO_ROLLUP[],MATCH($B36,MMWR_RATING_RO_ROLLUP[MMWR_RATING_RO_ROLLUP],0),MATCH(C$9,MMWR_RATING_RO_ROLLUP[#Headers],0)),"ERROR"))</f>
        <v>7071</v>
      </c>
      <c r="D36" s="155">
        <f>IF($B36=" ","",IFERROR(INDEX(MMWR_RATING_RO_ROLLUP[],MATCH($B36,MMWR_RATING_RO_ROLLUP[MMWR_RATING_RO_ROLLUP],0),MATCH(D$9,MMWR_RATING_RO_ROLLUP[#Headers],0)),"ERROR"))</f>
        <v>63.987696223999997</v>
      </c>
      <c r="E36" s="156">
        <f>IF($B36=" ","",IFERROR(INDEX(MMWR_RATING_RO_ROLLUP[],MATCH($B36,MMWR_RATING_RO_ROLLUP[MMWR_RATING_RO_ROLLUP],0),MATCH(E$9,MMWR_RATING_RO_ROLLUP[#Headers],0))/$C36,"ERROR"))</f>
        <v>8.188375053033517E-2</v>
      </c>
      <c r="F36" s="154">
        <f>IF($B36=" ","",IFERROR(INDEX(MMWR_RATING_RO_ROLLUP[],MATCH($B36,MMWR_RATING_RO_ROLLUP[MMWR_RATING_RO_ROLLUP],0),MATCH(F$9,MMWR_RATING_RO_ROLLUP[#Headers],0)),"ERROR"))</f>
        <v>1534</v>
      </c>
      <c r="G36" s="154">
        <f>IF($B36=" ","",IFERROR(INDEX(MMWR_RATING_RO_ROLLUP[],MATCH($B36,MMWR_RATING_RO_ROLLUP[MMWR_RATING_RO_ROLLUP],0),MATCH(G$9,MMWR_RATING_RO_ROLLUP[#Headers],0)),"ERROR"))</f>
        <v>7863</v>
      </c>
      <c r="H36" s="155">
        <f>IF($B36=" ","",IFERROR(INDEX(MMWR_RATING_RO_ROLLUP[],MATCH($B36,MMWR_RATING_RO_ROLLUP[MMWR_RATING_RO_ROLLUP],0),MATCH(H$9,MMWR_RATING_RO_ROLLUP[#Headers],0)),"ERROR"))</f>
        <v>73.115384615400004</v>
      </c>
      <c r="I36" s="155">
        <f>IF($B36=" ","",IFERROR(INDEX(MMWR_RATING_RO_ROLLUP[],MATCH($B36,MMWR_RATING_RO_ROLLUP[MMWR_RATING_RO_ROLLUP],0),MATCH(I$9,MMWR_RATING_RO_ROLLUP[#Headers],0)),"ERROR"))</f>
        <v>67.398575607300003</v>
      </c>
      <c r="J36" s="42"/>
      <c r="K36" s="252">
        <f>IF($B36=" ","",IFERROR(VLOOKUP($B36,MMWR_ACCURACY_RO[],MATCH(K$50,MMWR_ACCURACY_RO[#Headers],0),0),"ERROR"))</f>
        <v>0.96253269998623159</v>
      </c>
      <c r="L36" s="252">
        <f>IF($B36=" ","",IFERROR(VLOOKUP($B36,MMWR_ACCURACY_RO[],MATCH(L$50,MMWR_ACCURACY_RO[#Headers],0),0),"ERROR"))</f>
        <v>0.94221226803333591</v>
      </c>
      <c r="M36" s="252">
        <f>IF($B36=" ","",IFERROR(VLOOKUP($B36,MMWR_ACCURACY_RO[],MATCH(M$50,MMWR_ACCURACY_RO[#Headers],0),0),"ERROR"))</f>
        <v>3.6706185296664702E-2</v>
      </c>
      <c r="N36" s="252">
        <f>IF($B36=" ","",IFERROR(VLOOKUP($B36,MMWR_ACCURACY_RO[],MATCH(N$50,MMWR_ACCURACY_RO[#Headers],0),0),"ERROR"))</f>
        <v>0.97672108188542173</v>
      </c>
      <c r="O36" s="252">
        <f>IF($B36=" ","",IFERROR(VLOOKUP($B36,MMWR_ACCURACY_RO[],MATCH(O$50,MMWR_ACCURACY_RO[#Headers],0),0),"ERROR"))</f>
        <v>2.2376663278575463E-2</v>
      </c>
      <c r="P36" s="28"/>
    </row>
    <row r="37" spans="1:16" x14ac:dyDescent="0.2">
      <c r="A37" s="25"/>
      <c r="B37" s="12" t="s">
        <v>218</v>
      </c>
      <c r="C37" s="154">
        <f>IF($B37=" ","",IFERROR(INDEX(MMWR_RATING_RO_ROLLUP[],MATCH($B37,MMWR_RATING_RO_ROLLUP[MMWR_RATING_RO_ROLLUP],0),MATCH(C$9,MMWR_RATING_RO_ROLLUP[#Headers],0)),"ERROR"))</f>
        <v>7205</v>
      </c>
      <c r="D37" s="155">
        <f>IF($B37=" ","",IFERROR(INDEX(MMWR_RATING_RO_ROLLUP[],MATCH($B37,MMWR_RATING_RO_ROLLUP[MMWR_RATING_RO_ROLLUP],0),MATCH(D$9,MMWR_RATING_RO_ROLLUP[#Headers],0)),"ERROR"))</f>
        <v>58.777515614199999</v>
      </c>
      <c r="E37" s="156">
        <f>IF($B37=" ","",IFERROR(INDEX(MMWR_RATING_RO_ROLLUP[],MATCH($B37,MMWR_RATING_RO_ROLLUP[MMWR_RATING_RO_ROLLUP],0),MATCH(E$9,MMWR_RATING_RO_ROLLUP[#Headers],0))/$C37,"ERROR"))</f>
        <v>6.5648854961832065E-2</v>
      </c>
      <c r="F37" s="154">
        <f>IF($B37=" ","",IFERROR(INDEX(MMWR_RATING_RO_ROLLUP[],MATCH($B37,MMWR_RATING_RO_ROLLUP[MMWR_RATING_RO_ROLLUP],0),MATCH(F$9,MMWR_RATING_RO_ROLLUP[#Headers],0)),"ERROR"))</f>
        <v>1748</v>
      </c>
      <c r="G37" s="154">
        <f>IF($B37=" ","",IFERROR(INDEX(MMWR_RATING_RO_ROLLUP[],MATCH($B37,MMWR_RATING_RO_ROLLUP[MMWR_RATING_RO_ROLLUP],0),MATCH(G$9,MMWR_RATING_RO_ROLLUP[#Headers],0)),"ERROR"))</f>
        <v>10919</v>
      </c>
      <c r="H37" s="155">
        <f>IF($B37=" ","",IFERROR(INDEX(MMWR_RATING_RO_ROLLUP[],MATCH($B37,MMWR_RATING_RO_ROLLUP[MMWR_RATING_RO_ROLLUP],0),MATCH(H$9,MMWR_RATING_RO_ROLLUP[#Headers],0)),"ERROR"))</f>
        <v>69.178489702500002</v>
      </c>
      <c r="I37" s="155">
        <f>IF($B37=" ","",IFERROR(INDEX(MMWR_RATING_RO_ROLLUP[],MATCH($B37,MMWR_RATING_RO_ROLLUP[MMWR_RATING_RO_ROLLUP],0),MATCH(I$9,MMWR_RATING_RO_ROLLUP[#Headers],0)),"ERROR"))</f>
        <v>65.226302774999994</v>
      </c>
      <c r="J37" s="42"/>
      <c r="K37" s="252">
        <f>IF($B37=" ","",IFERROR(VLOOKUP($B37,MMWR_ACCURACY_RO[],MATCH(K$50,MMWR_ACCURACY_RO[#Headers],0),0),"ERROR"))</f>
        <v>1</v>
      </c>
      <c r="L37" s="252">
        <f>IF($B37=" ","",IFERROR(VLOOKUP($B37,MMWR_ACCURACY_RO[],MATCH(L$50,MMWR_ACCURACY_RO[#Headers],0),0),"ERROR"))</f>
        <v>0.99181176584824771</v>
      </c>
      <c r="M37" s="252">
        <f>IF($B37=" ","",IFERROR(VLOOKUP($B37,MMWR_ACCURACY_RO[],MATCH(M$50,MMWR_ACCURACY_RO[#Headers],0),0),"ERROR"))</f>
        <v>9.8227936471293725E-3</v>
      </c>
      <c r="N37" s="252">
        <f>IF($B37=" ","",IFERROR(VLOOKUP($B37,MMWR_ACCURACY_RO[],MATCH(N$50,MMWR_ACCURACY_RO[#Headers],0),0),"ERROR"))</f>
        <v>0.98593055566785526</v>
      </c>
      <c r="O37" s="252">
        <f>IF($B37=" ","",IFERROR(VLOOKUP($B37,MMWR_ACCURACY_RO[],MATCH(O$50,MMWR_ACCURACY_RO[#Headers],0),0),"ERROR"))</f>
        <v>1.7221858586439681E-2</v>
      </c>
      <c r="P37" s="28"/>
    </row>
    <row r="38" spans="1:16" x14ac:dyDescent="0.2">
      <c r="A38" s="25"/>
      <c r="B38" s="13" t="s">
        <v>230</v>
      </c>
      <c r="C38" s="154">
        <f>IF($B38=" ","",IFERROR(INDEX(MMWR_RATING_RO_ROLLUP[],MATCH($B38,MMWR_RATING_RO_ROLLUP[MMWR_RATING_RO_ROLLUP],0),MATCH(C$9,MMWR_RATING_RO_ROLLUP[#Headers],0)),"ERROR"))</f>
        <v>546</v>
      </c>
      <c r="D38" s="155">
        <f>IF($B38=" ","",IFERROR(INDEX(MMWR_RATING_RO_ROLLUP[],MATCH($B38,MMWR_RATING_RO_ROLLUP[MMWR_RATING_RO_ROLLUP],0),MATCH(D$9,MMWR_RATING_RO_ROLLUP[#Headers],0)),"ERROR"))</f>
        <v>181.62454212450001</v>
      </c>
      <c r="E38" s="156">
        <f>IF($B38=" ","",IFERROR(INDEX(MMWR_RATING_RO_ROLLUP[],MATCH($B38,MMWR_RATING_RO_ROLLUP[MMWR_RATING_RO_ROLLUP],0),MATCH(E$9,MMWR_RATING_RO_ROLLUP[#Headers],0))/$C38,"ERROR"))</f>
        <v>0.4926739926739927</v>
      </c>
      <c r="F38" s="154">
        <f>IF($B38=" ","",IFERROR(INDEX(MMWR_RATING_RO_ROLLUP[],MATCH($B38,MMWR_RATING_RO_ROLLUP[MMWR_RATING_RO_ROLLUP],0),MATCH(F$9,MMWR_RATING_RO_ROLLUP[#Headers],0)),"ERROR"))</f>
        <v>148</v>
      </c>
      <c r="G38" s="154">
        <f>IF($B38=" ","",IFERROR(INDEX(MMWR_RATING_RO_ROLLUP[],MATCH($B38,MMWR_RATING_RO_ROLLUP[MMWR_RATING_RO_ROLLUP],0),MATCH(G$9,MMWR_RATING_RO_ROLLUP[#Headers],0)),"ERROR"))</f>
        <v>882</v>
      </c>
      <c r="H38" s="155">
        <f>IF($B38=" ","",IFERROR(INDEX(MMWR_RATING_RO_ROLLUP[],MATCH($B38,MMWR_RATING_RO_ROLLUP[MMWR_RATING_RO_ROLLUP],0),MATCH(H$9,MMWR_RATING_RO_ROLLUP[#Headers],0)),"ERROR"))</f>
        <v>58.263513513500001</v>
      </c>
      <c r="I38" s="155">
        <f>IF($B38=" ","",IFERROR(INDEX(MMWR_RATING_RO_ROLLUP[],MATCH($B38,MMWR_RATING_RO_ROLLUP[MMWR_RATING_RO_ROLLUP],0),MATCH(I$9,MMWR_RATING_RO_ROLLUP[#Headers],0)),"ERROR"))</f>
        <v>40.603174603200003</v>
      </c>
      <c r="J38" s="42"/>
      <c r="K38" s="42"/>
      <c r="L38" s="42"/>
      <c r="M38" s="42"/>
      <c r="N38" s="42"/>
      <c r="O38" s="42"/>
      <c r="P38" s="28"/>
    </row>
    <row r="39" spans="1:16" x14ac:dyDescent="0.2">
      <c r="A39" s="25"/>
      <c r="B39" s="342" t="s">
        <v>923</v>
      </c>
      <c r="C39" s="343"/>
      <c r="D39" s="343"/>
      <c r="E39" s="343"/>
      <c r="F39" s="343"/>
      <c r="G39" s="343"/>
      <c r="H39" s="343"/>
      <c r="I39" s="343"/>
      <c r="J39" s="343"/>
      <c r="K39" s="343"/>
      <c r="L39" s="343"/>
      <c r="M39" s="343"/>
      <c r="N39" s="343"/>
      <c r="O39" s="343"/>
      <c r="P39" s="28"/>
    </row>
    <row r="40" spans="1:16" x14ac:dyDescent="0.2">
      <c r="A40" s="25"/>
      <c r="B40" s="44" t="s">
        <v>704</v>
      </c>
      <c r="C40" s="154">
        <f>IF($B40=" ","",IFERROR(INDEX(MMWR_RATING_RO_ROLLUP[],MATCH($B40,MMWR_RATING_RO_ROLLUP[MMWR_RATING_RO_ROLLUP],0),MATCH(C$9,MMWR_RATING_RO_ROLLUP[#Headers],0)),"ERROR"))</f>
        <v>10722</v>
      </c>
      <c r="D40" s="155">
        <f>IF($B40=" ","",IFERROR(INDEX(MMWR_RATING_RO_ROLLUP[],MATCH($B40,MMWR_RATING_RO_ROLLUP[MMWR_RATING_RO_ROLLUP],0),MATCH(D$9,MMWR_RATING_RO_ROLLUP[#Headers],0)),"ERROR"))</f>
        <v>80.201641484800007</v>
      </c>
      <c r="E40" s="156">
        <f>IF($B40=" ","",IFERROR(INDEX(MMWR_RATING_RO_ROLLUP[],MATCH($B40,MMWR_RATING_RO_ROLLUP[MMWR_RATING_RO_ROLLUP],0),MATCH(E$9,MMWR_RATING_RO_ROLLUP[#Headers],0))/$C40,"ERROR"))</f>
        <v>0.18392091027793322</v>
      </c>
      <c r="F40" s="154">
        <f>IF($B40=" ","",IFERROR(INDEX(MMWR_RATING_RO_ROLLUP[],MATCH($B40,MMWR_RATING_RO_ROLLUP[MMWR_RATING_RO_ROLLUP],0),MATCH(F$9,MMWR_RATING_RO_ROLLUP[#Headers],0)),"ERROR"))</f>
        <v>745</v>
      </c>
      <c r="G40" s="154">
        <f>IF($B40=" ","",IFERROR(INDEX(MMWR_RATING_RO_ROLLUP[],MATCH($B40,MMWR_RATING_RO_ROLLUP[MMWR_RATING_RO_ROLLUP],0),MATCH(G$9,MMWR_RATING_RO_ROLLUP[#Headers],0)),"ERROR"))</f>
        <v>3751</v>
      </c>
      <c r="H40" s="155">
        <f>IF($B40=" ","",IFERROR(INDEX(MMWR_RATING_RO_ROLLUP[],MATCH($B40,MMWR_RATING_RO_ROLLUP[MMWR_RATING_RO_ROLLUP],0),MATCH(H$9,MMWR_RATING_RO_ROLLUP[#Headers],0)),"ERROR"))</f>
        <v>143.43221476510001</v>
      </c>
      <c r="I40" s="155">
        <f>IF($B40=" ","",IFERROR(INDEX(MMWR_RATING_RO_ROLLUP[],MATCH($B40,MMWR_RATING_RO_ROLLUP[MMWR_RATING_RO_ROLLUP],0),MATCH(I$9,MMWR_RATING_RO_ROLLUP[#Headers],0)),"ERROR"))</f>
        <v>137.26952812580001</v>
      </c>
      <c r="J40" s="42"/>
      <c r="K40" s="42"/>
      <c r="L40" s="42"/>
      <c r="M40" s="42"/>
      <c r="N40" s="42"/>
      <c r="O40" s="42"/>
      <c r="P40" s="28"/>
    </row>
    <row r="41" spans="1:16" x14ac:dyDescent="0.2">
      <c r="A41" s="25"/>
      <c r="B41" s="45" t="s">
        <v>963</v>
      </c>
      <c r="C41" s="154">
        <f>IF($B41=" ","",IFERROR(INDEX(MMWR_RATING_RO_ROLLUP[],MATCH($B41,MMWR_RATING_RO_ROLLUP[MMWR_RATING_RO_ROLLUP],0),MATCH(C$9,MMWR_RATING_RO_ROLLUP[#Headers],0)),"ERROR"))</f>
        <v>4746</v>
      </c>
      <c r="D41" s="155">
        <f>IF($B41=" ","",IFERROR(INDEX(MMWR_RATING_RO_ROLLUP[],MATCH($B41,MMWR_RATING_RO_ROLLUP[MMWR_RATING_RO_ROLLUP],0),MATCH(D$9,MMWR_RATING_RO_ROLLUP[#Headers],0)),"ERROR"))</f>
        <v>74.235988200600005</v>
      </c>
      <c r="E41" s="156">
        <f>IF($B41=" ","",IFERROR(INDEX(MMWR_RATING_RO_ROLLUP[],MATCH($B41,MMWR_RATING_RO_ROLLUP[MMWR_RATING_RO_ROLLUP],0),MATCH(E$9,MMWR_RATING_RO_ROLLUP[#Headers],0))/$C41,"ERROR"))</f>
        <v>0.11230509903076275</v>
      </c>
      <c r="F41" s="154">
        <f>IF($B41=" ","",IFERROR(INDEX(MMWR_RATING_RO_ROLLUP[],MATCH($B41,MMWR_RATING_RO_ROLLUP[MMWR_RATING_RO_ROLLUP],0),MATCH(F$9,MMWR_RATING_RO_ROLLUP[#Headers],0)),"ERROR"))</f>
        <v>378</v>
      </c>
      <c r="G41" s="154">
        <f>IF($B41=" ","",IFERROR(INDEX(MMWR_RATING_RO_ROLLUP[],MATCH($B41,MMWR_RATING_RO_ROLLUP[MMWR_RATING_RO_ROLLUP],0),MATCH(G$9,MMWR_RATING_RO_ROLLUP[#Headers],0)),"ERROR"))</f>
        <v>1902</v>
      </c>
      <c r="H41" s="155">
        <f>IF($B41=" ","",IFERROR(INDEX(MMWR_RATING_RO_ROLLUP[],MATCH($B41,MMWR_RATING_RO_ROLLUP[MMWR_RATING_RO_ROLLUP],0),MATCH(H$9,MMWR_RATING_RO_ROLLUP[#Headers],0)),"ERROR"))</f>
        <v>132.31216931220001</v>
      </c>
      <c r="I41" s="155">
        <f>IF($B41=" ","",IFERROR(INDEX(MMWR_RATING_RO_ROLLUP[],MATCH($B41,MMWR_RATING_RO_ROLLUP[MMWR_RATING_RO_ROLLUP],0),MATCH(I$9,MMWR_RATING_RO_ROLLUP[#Headers],0)),"ERROR"))</f>
        <v>122.72344900109999</v>
      </c>
      <c r="J41" s="42"/>
      <c r="K41" s="42"/>
      <c r="L41" s="42"/>
      <c r="M41" s="42"/>
      <c r="N41" s="42"/>
      <c r="O41" s="42"/>
      <c r="P41" s="28"/>
    </row>
    <row r="42" spans="1:16" x14ac:dyDescent="0.2">
      <c r="A42" s="25"/>
      <c r="B42" s="45" t="s">
        <v>964</v>
      </c>
      <c r="C42" s="154">
        <f>IF($B42=" ","",IFERROR(INDEX(MMWR_RATING_RO_ROLLUP[],MATCH($B42,MMWR_RATING_RO_ROLLUP[MMWR_RATING_RO_ROLLUP],0),MATCH(C$9,MMWR_RATING_RO_ROLLUP[#Headers],0)),"ERROR"))</f>
        <v>5577</v>
      </c>
      <c r="D42" s="155">
        <f>IF($B42=" ","",IFERROR(INDEX(MMWR_RATING_RO_ROLLUP[],MATCH($B42,MMWR_RATING_RO_ROLLUP[MMWR_RATING_RO_ROLLUP],0),MATCH(D$9,MMWR_RATING_RO_ROLLUP[#Headers],0)),"ERROR"))</f>
        <v>86.917159763300006</v>
      </c>
      <c r="E42" s="156">
        <f>IF($B42=" ","",IFERROR(INDEX(MMWR_RATING_RO_ROLLUP[],MATCH($B42,MMWR_RATING_RO_ROLLUP[MMWR_RATING_RO_ROLLUP],0),MATCH(E$9,MMWR_RATING_RO_ROLLUP[#Headers],0))/$C42,"ERROR"))</f>
        <v>0.24870001793078717</v>
      </c>
      <c r="F42" s="154">
        <f>IF($B42=" ","",IFERROR(INDEX(MMWR_RATING_RO_ROLLUP[],MATCH($B42,MMWR_RATING_RO_ROLLUP[MMWR_RATING_RO_ROLLUP],0),MATCH(F$9,MMWR_RATING_RO_ROLLUP[#Headers],0)),"ERROR"))</f>
        <v>337</v>
      </c>
      <c r="G42" s="154">
        <f>IF($B42=" ","",IFERROR(INDEX(MMWR_RATING_RO_ROLLUP[],MATCH($B42,MMWR_RATING_RO_ROLLUP[MMWR_RATING_RO_ROLLUP],0),MATCH(G$9,MMWR_RATING_RO_ROLLUP[#Headers],0)),"ERROR"))</f>
        <v>1738</v>
      </c>
      <c r="H42" s="155">
        <f>IF($B42=" ","",IFERROR(INDEX(MMWR_RATING_RO_ROLLUP[],MATCH($B42,MMWR_RATING_RO_ROLLUP[MMWR_RATING_RO_ROLLUP],0),MATCH(H$9,MMWR_RATING_RO_ROLLUP[#Headers],0)),"ERROR"))</f>
        <v>157.45400593470001</v>
      </c>
      <c r="I42" s="155">
        <f>IF($B42=" ","",IFERROR(INDEX(MMWR_RATING_RO_ROLLUP[],MATCH($B42,MMWR_RATING_RO_ROLLUP[MMWR_RATING_RO_ROLLUP],0),MATCH(I$9,MMWR_RATING_RO_ROLLUP[#Headers],0)),"ERROR"))</f>
        <v>154.31070195629999</v>
      </c>
      <c r="J42" s="42"/>
      <c r="K42" s="42"/>
      <c r="L42" s="42"/>
      <c r="M42" s="42"/>
      <c r="N42" s="42"/>
      <c r="O42" s="42"/>
      <c r="P42" s="28"/>
    </row>
    <row r="43" spans="1:16" x14ac:dyDescent="0.2">
      <c r="A43" s="25"/>
      <c r="B43" s="46" t="s">
        <v>313</v>
      </c>
      <c r="C43" s="154">
        <f>IF($B43=" ","",IFERROR(INDEX(MMWR_RATING_RO_ROLLUP[],MATCH($B43,MMWR_RATING_RO_ROLLUP[MMWR_RATING_RO_ROLLUP],0),MATCH(C$9,MMWR_RATING_RO_ROLLUP[#Headers],0)),"ERROR"))</f>
        <v>399</v>
      </c>
      <c r="D43" s="155">
        <f>IF($B43=" ","",IFERROR(INDEX(MMWR_RATING_RO_ROLLUP[],MATCH($B43,MMWR_RATING_RO_ROLLUP[MMWR_RATING_RO_ROLLUP],0),MATCH(D$9,MMWR_RATING_RO_ROLLUP[#Headers],0)),"ERROR"))</f>
        <v>57.295739348399998</v>
      </c>
      <c r="E43" s="156">
        <f>IF($B43=" ","",IFERROR(INDEX(MMWR_RATING_RO_ROLLUP[],MATCH($B43,MMWR_RATING_RO_ROLLUP[MMWR_RATING_RO_ROLLUP],0),MATCH(E$9,MMWR_RATING_RO_ROLLUP[#Headers],0))/$C43,"ERROR"))</f>
        <v>0.13032581453634084</v>
      </c>
      <c r="F43" s="154">
        <f>IF($B43=" ","",IFERROR(INDEX(MMWR_RATING_RO_ROLLUP[],MATCH($B43,MMWR_RATING_RO_ROLLUP[MMWR_RATING_RO_ROLLUP],0),MATCH(F$9,MMWR_RATING_RO_ROLLUP[#Headers],0)),"ERROR"))</f>
        <v>30</v>
      </c>
      <c r="G43" s="154">
        <f>IF($B43=" ","",IFERROR(INDEX(MMWR_RATING_RO_ROLLUP[],MATCH($B43,MMWR_RATING_RO_ROLLUP[MMWR_RATING_RO_ROLLUP],0),MATCH(G$9,MMWR_RATING_RO_ROLLUP[#Headers],0)),"ERROR"))</f>
        <v>111</v>
      </c>
      <c r="H43" s="155">
        <f>IF($B43=" ","",IFERROR(INDEX(MMWR_RATING_RO_ROLLUP[],MATCH($B43,MMWR_RATING_RO_ROLLUP[MMWR_RATING_RO_ROLLUP],0),MATCH(H$9,MMWR_RATING_RO_ROLLUP[#Headers],0)),"ERROR"))</f>
        <v>126.03333333330001</v>
      </c>
      <c r="I43" s="155">
        <f>IF($B43=" ","",IFERROR(INDEX(MMWR_RATING_RO_ROLLUP[],MATCH($B43,MMWR_RATING_RO_ROLLUP[MMWR_RATING_RO_ROLLUP],0),MATCH(I$9,MMWR_RATING_RO_ROLLUP[#Headers],0)),"ERROR"))</f>
        <v>119.6936936937</v>
      </c>
      <c r="J43" s="42"/>
      <c r="K43" s="42"/>
      <c r="L43" s="42"/>
      <c r="M43" s="42"/>
      <c r="N43" s="42"/>
      <c r="O43" s="42"/>
      <c r="P43" s="28"/>
    </row>
    <row r="44" spans="1:16" x14ac:dyDescent="0.2">
      <c r="A44" s="25"/>
      <c r="B44" s="342" t="s">
        <v>741</v>
      </c>
      <c r="C44" s="343"/>
      <c r="D44" s="343"/>
      <c r="E44" s="343"/>
      <c r="F44" s="343"/>
      <c r="G44" s="343"/>
      <c r="H44" s="343"/>
      <c r="I44" s="343"/>
      <c r="J44" s="343"/>
      <c r="K44" s="343"/>
      <c r="L44" s="343"/>
      <c r="M44" s="343"/>
      <c r="N44" s="343"/>
      <c r="O44" s="343"/>
      <c r="P44" s="28"/>
    </row>
    <row r="45" spans="1:16" x14ac:dyDescent="0.2">
      <c r="A45" s="25"/>
      <c r="B45" s="44" t="s">
        <v>702</v>
      </c>
      <c r="C45" s="154">
        <f>IF($B45=" ","",IFERROR(INDEX(MMWR_RATING_RO_ROLLUP[],MATCH($B45,MMWR_RATING_RO_ROLLUP[MMWR_RATING_RO_ROLLUP],0),MATCH(C$9,MMWR_RATING_RO_ROLLUP[#Headers],0)),"ERROR"))</f>
        <v>11913</v>
      </c>
      <c r="D45" s="155">
        <f>IF($B45=" ","",IFERROR(INDEX(MMWR_RATING_RO_ROLLUP[],MATCH($B45,MMWR_RATING_RO_ROLLUP[MMWR_RATING_RO_ROLLUP],0),MATCH(D$9,MMWR_RATING_RO_ROLLUP[#Headers],0)),"ERROR"))</f>
        <v>80.065642575300004</v>
      </c>
      <c r="E45" s="156">
        <f>IF($B45=" ","",IFERROR(INDEX(MMWR_RATING_RO_ROLLUP[],MATCH($B45,MMWR_RATING_RO_ROLLUP[MMWR_RATING_RO_ROLLUP],0),MATCH(E$9,MMWR_RATING_RO_ROLLUP[#Headers],0))/$C45,"ERROR"))</f>
        <v>0.19634013262822128</v>
      </c>
      <c r="F45" s="154">
        <f>IF($B45=" ","",IFERROR(INDEX(MMWR_RATING_RO_ROLLUP[],MATCH($B45,MMWR_RATING_RO_ROLLUP[MMWR_RATING_RO_ROLLUP],0),MATCH(F$9,MMWR_RATING_RO_ROLLUP[#Headers],0)),"ERROR"))</f>
        <v>840</v>
      </c>
      <c r="G45" s="154">
        <f>IF($B45=" ","",IFERROR(INDEX(MMWR_RATING_RO_ROLLUP[],MATCH($B45,MMWR_RATING_RO_ROLLUP[MMWR_RATING_RO_ROLLUP],0),MATCH(G$9,MMWR_RATING_RO_ROLLUP[#Headers],0)),"ERROR"))</f>
        <v>4421</v>
      </c>
      <c r="H45" s="155">
        <f>IF($B45=" ","",IFERROR(INDEX(MMWR_RATING_RO_ROLLUP[],MATCH($B45,MMWR_RATING_RO_ROLLUP[MMWR_RATING_RO_ROLLUP],0),MATCH(H$9,MMWR_RATING_RO_ROLLUP[#Headers],0)),"ERROR"))</f>
        <v>136.74166666670001</v>
      </c>
      <c r="I45" s="155">
        <f>IF($B45=" ","",IFERROR(INDEX(MMWR_RATING_RO_ROLLUP[],MATCH($B45,MMWR_RATING_RO_ROLLUP[MMWR_RATING_RO_ROLLUP],0),MATCH(I$9,MMWR_RATING_RO_ROLLUP[#Headers],0)),"ERROR"))</f>
        <v>130.7787830808</v>
      </c>
      <c r="J45" s="42"/>
      <c r="K45" s="42"/>
      <c r="L45" s="42"/>
      <c r="M45" s="42"/>
      <c r="N45" s="42"/>
      <c r="O45" s="42"/>
      <c r="P45" s="28"/>
    </row>
    <row r="46" spans="1:16" x14ac:dyDescent="0.2">
      <c r="A46" s="25"/>
      <c r="B46" s="45" t="s">
        <v>217</v>
      </c>
      <c r="C46" s="154">
        <f>IF($B46=" ","",IFERROR(INDEX(MMWR_RATING_RO_ROLLUP[],MATCH($B46,MMWR_RATING_RO_ROLLUP[MMWR_RATING_RO_ROLLUP],0),MATCH(C$9,MMWR_RATING_RO_ROLLUP[#Headers],0)),"ERROR"))</f>
        <v>4477</v>
      </c>
      <c r="D46" s="155">
        <f>IF($B46=" ","",IFERROR(INDEX(MMWR_RATING_RO_ROLLUP[],MATCH($B46,MMWR_RATING_RO_ROLLUP[MMWR_RATING_RO_ROLLUP],0),MATCH(D$9,MMWR_RATING_RO_ROLLUP[#Headers],0)),"ERROR"))</f>
        <v>69.329461693100001</v>
      </c>
      <c r="E46" s="156">
        <f>IF($B46=" ","",IFERROR(INDEX(MMWR_RATING_RO_ROLLUP[],MATCH($B46,MMWR_RATING_RO_ROLLUP[MMWR_RATING_RO_ROLLUP],0),MATCH(E$9,MMWR_RATING_RO_ROLLUP[#Headers],0))/$C46,"ERROR"))</f>
        <v>9.0909090909090912E-2</v>
      </c>
      <c r="F46" s="154">
        <f>IF($B46=" ","",IFERROR(INDEX(MMWR_RATING_RO_ROLLUP[],MATCH($B46,MMWR_RATING_RO_ROLLUP[MMWR_RATING_RO_ROLLUP],0),MATCH(F$9,MMWR_RATING_RO_ROLLUP[#Headers],0)),"ERROR"))</f>
        <v>398</v>
      </c>
      <c r="G46" s="154">
        <f>IF($B46=" ","",IFERROR(INDEX(MMWR_RATING_RO_ROLLUP[],MATCH($B46,MMWR_RATING_RO_ROLLUP[MMWR_RATING_RO_ROLLUP],0),MATCH(G$9,MMWR_RATING_RO_ROLLUP[#Headers],0)),"ERROR"))</f>
        <v>2014</v>
      </c>
      <c r="H46" s="155">
        <f>IF($B46=" ","",IFERROR(INDEX(MMWR_RATING_RO_ROLLUP[],MATCH($B46,MMWR_RATING_RO_ROLLUP[MMWR_RATING_RO_ROLLUP],0),MATCH(H$9,MMWR_RATING_RO_ROLLUP[#Headers],0)),"ERROR"))</f>
        <v>128.66331658289999</v>
      </c>
      <c r="I46" s="155">
        <f>IF($B46=" ","",IFERROR(INDEX(MMWR_RATING_RO_ROLLUP[],MATCH($B46,MMWR_RATING_RO_ROLLUP[MMWR_RATING_RO_ROLLUP],0),MATCH(I$9,MMWR_RATING_RO_ROLLUP[#Headers],0)),"ERROR"))</f>
        <v>119.3291956306</v>
      </c>
      <c r="J46" s="42"/>
      <c r="K46" s="42"/>
      <c r="L46" s="42"/>
      <c r="M46" s="42"/>
      <c r="N46" s="42"/>
      <c r="O46" s="42"/>
      <c r="P46" s="28"/>
    </row>
    <row r="47" spans="1:16" x14ac:dyDescent="0.2">
      <c r="A47" s="25"/>
      <c r="B47" s="45" t="s">
        <v>219</v>
      </c>
      <c r="C47" s="154">
        <f>IF($B47=" ","",IFERROR(INDEX(MMWR_RATING_RO_ROLLUP[],MATCH($B47,MMWR_RATING_RO_ROLLUP[MMWR_RATING_RO_ROLLUP],0),MATCH(C$9,MMWR_RATING_RO_ROLLUP[#Headers],0)),"ERROR"))</f>
        <v>6943</v>
      </c>
      <c r="D47" s="155">
        <f>IF($B47=" ","",IFERROR(INDEX(MMWR_RATING_RO_ROLLUP[],MATCH($B47,MMWR_RATING_RO_ROLLUP[MMWR_RATING_RO_ROLLUP],0),MATCH(D$9,MMWR_RATING_RO_ROLLUP[#Headers],0)),"ERROR"))</f>
        <v>87.378798790100006</v>
      </c>
      <c r="E47" s="156">
        <f>IF($B47=" ","",IFERROR(INDEX(MMWR_RATING_RO_ROLLUP[],MATCH($B47,MMWR_RATING_RO_ROLLUP[MMWR_RATING_RO_ROLLUP],0),MATCH(E$9,MMWR_RATING_RO_ROLLUP[#Headers],0))/$C47,"ERROR"))</f>
        <v>0.26515915310384558</v>
      </c>
      <c r="F47" s="154">
        <f>IF($B47=" ","",IFERROR(INDEX(MMWR_RATING_RO_ROLLUP[],MATCH($B47,MMWR_RATING_RO_ROLLUP[MMWR_RATING_RO_ROLLUP],0),MATCH(F$9,MMWR_RATING_RO_ROLLUP[#Headers],0)),"ERROR"))</f>
        <v>399</v>
      </c>
      <c r="G47" s="154">
        <f>IF($B47=" ","",IFERROR(INDEX(MMWR_RATING_RO_ROLLUP[],MATCH($B47,MMWR_RATING_RO_ROLLUP[MMWR_RATING_RO_ROLLUP],0),MATCH(G$9,MMWR_RATING_RO_ROLLUP[#Headers],0)),"ERROR"))</f>
        <v>2127</v>
      </c>
      <c r="H47" s="155">
        <f>IF($B47=" ","",IFERROR(INDEX(MMWR_RATING_RO_ROLLUP[],MATCH($B47,MMWR_RATING_RO_ROLLUP[MMWR_RATING_RO_ROLLUP],0),MATCH(H$9,MMWR_RATING_RO_ROLLUP[#Headers],0)),"ERROR"))</f>
        <v>148.69423558899999</v>
      </c>
      <c r="I47" s="155">
        <f>IF($B47=" ","",IFERROR(INDEX(MMWR_RATING_RO_ROLLUP[],MATCH($B47,MMWR_RATING_RO_ROLLUP[MMWR_RATING_RO_ROLLUP],0),MATCH(I$9,MMWR_RATING_RO_ROLLUP[#Headers],0)),"ERROR"))</f>
        <v>146.94499294779999</v>
      </c>
      <c r="J47" s="42"/>
      <c r="K47" s="42"/>
      <c r="L47" s="42"/>
      <c r="M47" s="42"/>
      <c r="N47" s="42"/>
      <c r="O47" s="42"/>
      <c r="P47" s="28"/>
    </row>
    <row r="48" spans="1:16" x14ac:dyDescent="0.2">
      <c r="A48" s="25"/>
      <c r="B48" s="47" t="s">
        <v>314</v>
      </c>
      <c r="C48" s="154">
        <f>IF($B48=" ","",IFERROR(INDEX(MMWR_RATING_RO_ROLLUP[],MATCH($B48,MMWR_RATING_RO_ROLLUP[MMWR_RATING_RO_ROLLUP],0),MATCH(C$9,MMWR_RATING_RO_ROLLUP[#Headers],0)),"ERROR"))</f>
        <v>493</v>
      </c>
      <c r="D48" s="155">
        <f>IF($B48=" ","",IFERROR(INDEX(MMWR_RATING_RO_ROLLUP[],MATCH($B48,MMWR_RATING_RO_ROLLUP[MMWR_RATING_RO_ROLLUP],0),MATCH(D$9,MMWR_RATING_RO_ROLLUP[#Headers],0)),"ERROR"))</f>
        <v>74.569979716000006</v>
      </c>
      <c r="E48" s="156">
        <f>IF($B48=" ","",IFERROR(INDEX(MMWR_RATING_RO_ROLLUP[],MATCH($B48,MMWR_RATING_RO_ROLLUP[MMWR_RATING_RO_ROLLUP],0),MATCH(E$9,MMWR_RATING_RO_ROLLUP[#Headers],0))/$C48,"ERROR"))</f>
        <v>0.18458417849898581</v>
      </c>
      <c r="F48" s="154">
        <f>IF($B48=" ","",IFERROR(INDEX(MMWR_RATING_RO_ROLLUP[],MATCH($B48,MMWR_RATING_RO_ROLLUP[MMWR_RATING_RO_ROLLUP],0),MATCH(F$9,MMWR_RATING_RO_ROLLUP[#Headers],0)),"ERROR"))</f>
        <v>43</v>
      </c>
      <c r="G48" s="154">
        <f>IF($B48=" ","",IFERROR(INDEX(MMWR_RATING_RO_ROLLUP[],MATCH($B48,MMWR_RATING_RO_ROLLUP[MMWR_RATING_RO_ROLLUP],0),MATCH(G$9,MMWR_RATING_RO_ROLLUP[#Headers],0)),"ERROR"))</f>
        <v>280</v>
      </c>
      <c r="H48" s="155">
        <f>IF($B48=" ","",IFERROR(INDEX(MMWR_RATING_RO_ROLLUP[],MATCH($B48,MMWR_RATING_RO_ROLLUP[MMWR_RATING_RO_ROLLUP],0),MATCH(H$9,MMWR_RATING_RO_ROLLUP[#Headers],0)),"ERROR"))</f>
        <v>100.6046511628</v>
      </c>
      <c r="I48" s="155">
        <f>IF($B48=" ","",IFERROR(INDEX(MMWR_RATING_RO_ROLLUP[],MATCH($B48,MMWR_RATING_RO_ROLLUP[MMWR_RATING_RO_ROLLUP],0),MATCH(I$9,MMWR_RATING_RO_ROLLUP[#Headers],0)),"ERROR"))</f>
        <v>90.3285714286</v>
      </c>
      <c r="J48" s="42"/>
      <c r="K48" s="42"/>
      <c r="L48" s="42"/>
      <c r="M48" s="42"/>
      <c r="N48" s="42"/>
      <c r="O48" s="42"/>
      <c r="P48" s="28"/>
    </row>
    <row r="49" spans="1:16" ht="15.75" x14ac:dyDescent="0.25">
      <c r="A49" s="25"/>
      <c r="B49" s="341" t="s">
        <v>1058</v>
      </c>
      <c r="C49" s="341"/>
      <c r="D49" s="341"/>
      <c r="E49" s="341"/>
      <c r="F49" s="341"/>
      <c r="G49" s="341"/>
      <c r="H49" s="341"/>
      <c r="I49" s="341"/>
      <c r="J49" s="341"/>
      <c r="K49" s="341"/>
      <c r="L49" s="341"/>
      <c r="M49" s="341"/>
      <c r="N49" s="341"/>
      <c r="O49" s="262"/>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6" t="s">
        <v>300</v>
      </c>
      <c r="D2" s="357"/>
      <c r="E2" s="357"/>
      <c r="F2" s="357"/>
      <c r="G2" s="357"/>
      <c r="H2" s="357"/>
      <c r="I2" s="357"/>
      <c r="J2" s="356" t="s">
        <v>306</v>
      </c>
      <c r="K2" s="357"/>
      <c r="L2" s="357"/>
      <c r="M2" s="358"/>
      <c r="N2" s="28"/>
    </row>
    <row r="3" spans="1:16" ht="24" customHeight="1" thickBot="1" x14ac:dyDescent="0.4">
      <c r="A3" s="25"/>
      <c r="B3" s="29"/>
      <c r="C3" s="359"/>
      <c r="D3" s="360"/>
      <c r="E3" s="360"/>
      <c r="F3" s="360"/>
      <c r="G3" s="360"/>
      <c r="H3" s="360"/>
      <c r="I3" s="360"/>
      <c r="J3" s="359" t="str">
        <f>Transformation!B4</f>
        <v>As of: December 12, 2015</v>
      </c>
      <c r="K3" s="360"/>
      <c r="L3" s="360"/>
      <c r="M3" s="361"/>
      <c r="N3" s="28"/>
    </row>
    <row r="4" spans="1:16" ht="51" customHeight="1" thickBot="1" x14ac:dyDescent="0.35">
      <c r="A4" s="30"/>
      <c r="B4" s="247" t="s">
        <v>462</v>
      </c>
      <c r="C4" s="362" t="s">
        <v>977</v>
      </c>
      <c r="D4" s="363"/>
      <c r="E4" s="363"/>
      <c r="F4" s="363"/>
      <c r="G4" s="363"/>
      <c r="H4" s="363"/>
      <c r="I4" s="363"/>
      <c r="J4" s="363"/>
      <c r="K4" s="363"/>
      <c r="L4" s="363"/>
      <c r="M4" s="364"/>
      <c r="N4" s="28"/>
      <c r="O4" s="22"/>
      <c r="P4" s="23"/>
    </row>
    <row r="5" spans="1:16" ht="27" customHeight="1" thickBot="1" x14ac:dyDescent="0.25">
      <c r="A5" s="30"/>
      <c r="B5" s="48"/>
      <c r="C5" s="365" t="s">
        <v>1049</v>
      </c>
      <c r="D5" s="366"/>
      <c r="E5" s="366"/>
      <c r="F5" s="366"/>
      <c r="G5" s="366"/>
      <c r="H5" s="366"/>
      <c r="I5" s="366"/>
      <c r="J5" s="366"/>
      <c r="K5" s="366"/>
      <c r="L5" s="366"/>
      <c r="M5" s="366"/>
      <c r="N5" s="366"/>
      <c r="O5" s="367"/>
    </row>
    <row r="6" spans="1:16" ht="55.5" customHeight="1" x14ac:dyDescent="0.2">
      <c r="A6" s="30"/>
      <c r="B6" s="31"/>
      <c r="C6" s="32" t="s">
        <v>196</v>
      </c>
      <c r="D6" s="368" t="s">
        <v>16</v>
      </c>
      <c r="E6" s="369"/>
      <c r="F6" s="33" t="s">
        <v>199</v>
      </c>
      <c r="G6" s="368" t="s">
        <v>204</v>
      </c>
      <c r="H6" s="370"/>
      <c r="I6" s="33" t="s">
        <v>202</v>
      </c>
      <c r="J6" s="49" t="s">
        <v>14</v>
      </c>
      <c r="K6" s="33" t="s">
        <v>207</v>
      </c>
      <c r="L6" s="374" t="s">
        <v>88</v>
      </c>
      <c r="M6" s="387"/>
      <c r="N6" s="28"/>
    </row>
    <row r="7" spans="1:16" ht="51.75" customHeight="1" x14ac:dyDescent="0.2">
      <c r="A7" s="30"/>
      <c r="B7" s="34"/>
      <c r="C7" s="35" t="s">
        <v>197</v>
      </c>
      <c r="D7" s="344" t="s">
        <v>0</v>
      </c>
      <c r="E7" s="345"/>
      <c r="F7" s="36" t="s">
        <v>200</v>
      </c>
      <c r="G7" s="346" t="s">
        <v>205</v>
      </c>
      <c r="H7" s="346"/>
      <c r="I7" s="36" t="s">
        <v>203</v>
      </c>
      <c r="J7" s="50" t="s">
        <v>19</v>
      </c>
      <c r="K7" s="36" t="s">
        <v>208</v>
      </c>
      <c r="L7" s="388" t="s">
        <v>90</v>
      </c>
      <c r="M7" s="389"/>
      <c r="N7" s="28"/>
    </row>
    <row r="8" spans="1:16" ht="51.75" customHeight="1" thickBot="1" x14ac:dyDescent="0.25">
      <c r="A8" s="25"/>
      <c r="B8" s="28"/>
      <c r="C8" s="37" t="s">
        <v>198</v>
      </c>
      <c r="D8" s="347" t="s">
        <v>18</v>
      </c>
      <c r="E8" s="348"/>
      <c r="F8" s="38" t="s">
        <v>201</v>
      </c>
      <c r="G8" s="349" t="s">
        <v>17</v>
      </c>
      <c r="H8" s="349"/>
      <c r="I8" s="38" t="s">
        <v>206</v>
      </c>
      <c r="J8" s="51" t="s">
        <v>87</v>
      </c>
      <c r="K8" s="38" t="s">
        <v>209</v>
      </c>
      <c r="L8" s="390" t="s">
        <v>89</v>
      </c>
      <c r="M8" s="391"/>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50" t="s">
        <v>299</v>
      </c>
      <c r="D10" s="350"/>
      <c r="E10" s="350"/>
      <c r="F10" s="350"/>
      <c r="G10" s="350"/>
      <c r="H10" s="350"/>
      <c r="I10" s="350"/>
      <c r="J10" s="350"/>
      <c r="K10" s="350"/>
      <c r="L10" s="350"/>
      <c r="M10" s="392"/>
      <c r="N10" s="28"/>
    </row>
    <row r="11" spans="1:16" ht="64.5" customHeight="1" x14ac:dyDescent="0.2">
      <c r="A11" s="25"/>
      <c r="B11" s="26"/>
      <c r="C11" s="52" t="s">
        <v>232</v>
      </c>
      <c r="D11" s="52" t="s">
        <v>140</v>
      </c>
      <c r="E11" s="52" t="s">
        <v>233</v>
      </c>
      <c r="F11" s="52" t="s">
        <v>195</v>
      </c>
      <c r="G11" s="52" t="s">
        <v>210</v>
      </c>
      <c r="H11" s="52" t="s">
        <v>212</v>
      </c>
      <c r="I11" s="52" t="s">
        <v>213</v>
      </c>
      <c r="J11" s="394" t="s">
        <v>978</v>
      </c>
      <c r="K11" s="395"/>
      <c r="L11" s="395"/>
      <c r="M11" s="396"/>
      <c r="N11" s="28"/>
    </row>
    <row r="12" spans="1:16" x14ac:dyDescent="0.2">
      <c r="A12" s="25"/>
      <c r="B12" s="41" t="s">
        <v>736</v>
      </c>
      <c r="C12" s="154">
        <f>IF($B12=" ","",IFERROR(INDEX(MMWR_RATING_RO_ROLLUP[],MATCH($B12,MMWR_RATING_RO_ROLLUP[MMWR_RATING_RO_ROLLUP],0),MATCH(C$9,MMWR_RATING_RO_ROLLUP[#Headers],0)),"ERROR"))</f>
        <v>366684</v>
      </c>
      <c r="D12" s="155">
        <f>IF($B12=" ","",IFERROR(INDEX(MMWR_RATING_RO_ROLLUP[],MATCH($B12,MMWR_RATING_RO_ROLLUP[MMWR_RATING_RO_ROLLUP],0),MATCH(D$9,MMWR_RATING_RO_ROLLUP[#Headers],0)),"ERROR"))</f>
        <v>90.240444088100006</v>
      </c>
      <c r="E12" s="156">
        <f>IF($B12=" ","",IFERROR(INDEX(MMWR_RATING_RO_ROLLUP[],MATCH($B12,MMWR_RATING_RO_ROLLUP[MMWR_RATING_RO_ROLLUP],0),MATCH(E$9,MMWR_RATING_RO_ROLLUP[#Headers],0))/$C12,"ERROR"))</f>
        <v>0.20725202081356153</v>
      </c>
      <c r="F12" s="154">
        <f>IF($B12=" ","",IFERROR(INDEX(MMWR_RATING_RO_ROLLUP[],MATCH($B12,MMWR_RATING_RO_ROLLUP[MMWR_RATING_RO_ROLLUP],0),MATCH(F$9,MMWR_RATING_RO_ROLLUP[#Headers],0)),"ERROR"))</f>
        <v>43689</v>
      </c>
      <c r="G12" s="154">
        <f>IF($B12=" ","",IFERROR(INDEX(MMWR_RATING_RO_ROLLUP[],MATCH($B12,MMWR_RATING_RO_ROLLUP[MMWR_RATING_RO_ROLLUP],0),MATCH(G$9,MMWR_RATING_RO_ROLLUP[#Headers],0)),"ERROR"))</f>
        <v>247328</v>
      </c>
      <c r="H12" s="155">
        <f>IF($B12=" ","",IFERROR(INDEX(MMWR_RATING_RO_ROLLUP[],MATCH($B12,MMWR_RATING_RO_ROLLUP[MMWR_RATING_RO_ROLLUP],0),MATCH(H$9,MMWR_RATING_RO_ROLLUP[#Headers],0)),"ERROR"))</f>
        <v>129.19245118910001</v>
      </c>
      <c r="I12" s="155">
        <f>IF($B12=" ","",IFERROR(INDEX(MMWR_RATING_RO_ROLLUP[],MATCH($B12,MMWR_RATING_RO_ROLLUP[MMWR_RATING_RO_ROLLUP],0),MATCH(I$9,MMWR_RATING_RO_ROLLUP[#Headers],0)),"ERROR"))</f>
        <v>128.361709956</v>
      </c>
      <c r="J12" s="42"/>
      <c r="K12" s="42"/>
      <c r="L12" s="42"/>
      <c r="M12" s="42"/>
      <c r="N12" s="28"/>
    </row>
    <row r="13" spans="1:16" x14ac:dyDescent="0.2">
      <c r="A13" s="25"/>
      <c r="B13" s="342" t="s">
        <v>739</v>
      </c>
      <c r="C13" s="343"/>
      <c r="D13" s="343"/>
      <c r="E13" s="343"/>
      <c r="F13" s="343"/>
      <c r="G13" s="343"/>
      <c r="H13" s="343"/>
      <c r="I13" s="343"/>
      <c r="J13" s="343"/>
      <c r="K13" s="343"/>
      <c r="L13" s="343"/>
      <c r="M13" s="393"/>
      <c r="N13" s="28"/>
    </row>
    <row r="14" spans="1:16" x14ac:dyDescent="0.2">
      <c r="A14" s="25"/>
      <c r="B14" s="41" t="s">
        <v>735</v>
      </c>
      <c r="C14" s="154">
        <f>IF($B14=" ","",IFERROR(INDEX(MMWR_RATING_RO_ROLLUP[],MATCH($B14,MMWR_RATING_RO_ROLLUP[MMWR_RATING_RO_ROLLUP],0),MATCH(C$9,MMWR_RATING_RO_ROLLUP[#Headers],0)),"ERROR"))</f>
        <v>317877</v>
      </c>
      <c r="D14" s="155">
        <f>IF($B14=" ","",IFERROR(INDEX(MMWR_RATING_RO_ROLLUP[],MATCH($B14,MMWR_RATING_RO_ROLLUP[MMWR_RATING_RO_ROLLUP],0),MATCH(D$9,MMWR_RATING_RO_ROLLUP[#Headers],0)),"ERROR"))</f>
        <v>93.061268981400005</v>
      </c>
      <c r="E14" s="156">
        <f>IF($B14=" ","",IFERROR(INDEX(MMWR_RATING_RO_ROLLUP[],MATCH($B14,MMWR_RATING_RO_ROLLUP[MMWR_RATING_RO_ROLLUP],0),MATCH(E$9,MMWR_RATING_RO_ROLLUP[#Headers],0))/$C14,"ERROR"))</f>
        <v>0.21838321111624936</v>
      </c>
      <c r="F14" s="154">
        <f>IF($B14=" ","",IFERROR(INDEX(MMWR_RATING_RO_ROLLUP[],MATCH($B14,MMWR_RATING_RO_ROLLUP[MMWR_RATING_RO_ROLLUP],0),MATCH(F$9,MMWR_RATING_RO_ROLLUP[#Headers],0)),"ERROR"))</f>
        <v>37034</v>
      </c>
      <c r="G14" s="154">
        <f>IF($B14=" ","",IFERROR(INDEX(MMWR_RATING_RO_ROLLUP[],MATCH($B14,MMWR_RATING_RO_ROLLUP[MMWR_RATING_RO_ROLLUP],0),MATCH(G$9,MMWR_RATING_RO_ROLLUP[#Headers],0)),"ERROR"))</f>
        <v>210534</v>
      </c>
      <c r="H14" s="155">
        <f>IF($B14=" ","",IFERROR(INDEX(MMWR_RATING_RO_ROLLUP[],MATCH($B14,MMWR_RATING_RO_ROLLUP[MMWR_RATING_RO_ROLLUP],0),MATCH(H$9,MMWR_RATING_RO_ROLLUP[#Headers],0)),"ERROR"))</f>
        <v>135.98258357189999</v>
      </c>
      <c r="I14" s="155">
        <f>IF($B14=" ","",IFERROR(INDEX(MMWR_RATING_RO_ROLLUP[],MATCH($B14,MMWR_RATING_RO_ROLLUP[MMWR_RATING_RO_ROLLUP],0),MATCH(I$9,MMWR_RATING_RO_ROLLUP[#Headers],0)),"ERROR"))</f>
        <v>135.9917020529</v>
      </c>
      <c r="J14" s="42"/>
      <c r="K14" s="42"/>
      <c r="L14" s="42"/>
      <c r="M14" s="42"/>
      <c r="N14" s="28"/>
    </row>
    <row r="15" spans="1:16" x14ac:dyDescent="0.2">
      <c r="A15" s="25"/>
      <c r="B15" s="248" t="s">
        <v>376</v>
      </c>
      <c r="C15" s="154">
        <f>IF($B15=" ","",IFERROR(INDEX(MMWR_RATING_RO_ROLLUP[],MATCH($B15,MMWR_RATING_RO_ROLLUP[MMWR_RATING_RO_ROLLUP],0),MATCH(C$9,MMWR_RATING_RO_ROLLUP[#Headers],0)),"ERROR"))</f>
        <v>70975</v>
      </c>
      <c r="D15" s="155">
        <f>IF($B15=" ","",IFERROR(INDEX(MMWR_RATING_RO_ROLLUP[],MATCH($B15,MMWR_RATING_RO_ROLLUP[MMWR_RATING_RO_ROLLUP],0),MATCH(D$9,MMWR_RATING_RO_ROLLUP[#Headers],0)),"ERROR"))</f>
        <v>95.493709052499995</v>
      </c>
      <c r="E15" s="156">
        <f>IF($B15=" ","",IFERROR(INDEX(MMWR_RATING_RO_ROLLUP[],MATCH($B15,MMWR_RATING_RO_ROLLUP[MMWR_RATING_RO_ROLLUP],0),MATCH(E$9,MMWR_RATING_RO_ROLLUP[#Headers],0))/$C15,"ERROR"))</f>
        <v>0.22806622050017611</v>
      </c>
      <c r="F15" s="154">
        <f>IF($B15=" ","",IFERROR(INDEX(MMWR_RATING_RO_ROLLUP[],MATCH($B15,MMWR_RATING_RO_ROLLUP[MMWR_RATING_RO_ROLLUP],0),MATCH(F$9,MMWR_RATING_RO_ROLLUP[#Headers],0)),"ERROR"))</f>
        <v>8130</v>
      </c>
      <c r="G15" s="154">
        <f>IF($B15=" ","",IFERROR(INDEX(MMWR_RATING_RO_ROLLUP[],MATCH($B15,MMWR_RATING_RO_ROLLUP[MMWR_RATING_RO_ROLLUP],0),MATCH(G$9,MMWR_RATING_RO_ROLLUP[#Headers],0)),"ERROR"))</f>
        <v>46373</v>
      </c>
      <c r="H15" s="155">
        <f>IF($B15=" ","",IFERROR(INDEX(MMWR_RATING_RO_ROLLUP[],MATCH($B15,MMWR_RATING_RO_ROLLUP[MMWR_RATING_RO_ROLLUP],0),MATCH(H$9,MMWR_RATING_RO_ROLLUP[#Headers],0)),"ERROR"))</f>
        <v>137.10258302579999</v>
      </c>
      <c r="I15" s="155">
        <f>IF($B15=" ","",IFERROR(INDEX(MMWR_RATING_RO_ROLLUP[],MATCH($B15,MMWR_RATING_RO_ROLLUP[MMWR_RATING_RO_ROLLUP],0),MATCH(I$9,MMWR_RATING_RO_ROLLUP[#Headers],0)),"ERROR"))</f>
        <v>136.18556056329999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4644</v>
      </c>
      <c r="D16" s="155">
        <f>IF($B16=" ","",IFERROR(INDEX(MMWR_RATING_RO_ROLLUP[],MATCH($B16,MMWR_RATING_RO_ROLLUP[MMWR_RATING_RO_ROLLUP],0),MATCH(D$9,MMWR_RATING_RO_ROLLUP[#Headers],0)),"ERROR"))</f>
        <v>94.170542635700002</v>
      </c>
      <c r="E16" s="156">
        <f>IF($B16=" ","",IFERROR(INDEX(MMWR_RATING_RO_ROLLUP[],MATCH($B16,MMWR_RATING_RO_ROLLUP[MMWR_RATING_RO_ROLLUP],0),MATCH(E$9,MMWR_RATING_RO_ROLLUP[#Headers],0))/$C16,"ERROR"))</f>
        <v>0.2099483204134367</v>
      </c>
      <c r="F16" s="154">
        <f>IF($B16=" ","",IFERROR(INDEX(MMWR_RATING_RO_ROLLUP[],MATCH($B16,MMWR_RATING_RO_ROLLUP[MMWR_RATING_RO_ROLLUP],0),MATCH(F$9,MMWR_RATING_RO_ROLLUP[#Headers],0)),"ERROR"))</f>
        <v>527</v>
      </c>
      <c r="G16" s="154">
        <f>IF($B16=" ","",IFERROR(INDEX(MMWR_RATING_RO_ROLLUP[],MATCH($B16,MMWR_RATING_RO_ROLLUP[MMWR_RATING_RO_ROLLUP],0),MATCH(G$9,MMWR_RATING_RO_ROLLUP[#Headers],0)),"ERROR"))</f>
        <v>3185</v>
      </c>
      <c r="H16" s="155">
        <f>IF($B16=" ","",IFERROR(INDEX(MMWR_RATING_RO_ROLLUP[],MATCH($B16,MMWR_RATING_RO_ROLLUP[MMWR_RATING_RO_ROLLUP],0),MATCH(H$9,MMWR_RATING_RO_ROLLUP[#Headers],0)),"ERROR"))</f>
        <v>140.72296015180001</v>
      </c>
      <c r="I16" s="155">
        <f>IF($B16=" ","",IFERROR(INDEX(MMWR_RATING_RO_ROLLUP[],MATCH($B16,MMWR_RATING_RO_ROLLUP[MMWR_RATING_RO_ROLLUP],0),MATCH(I$9,MMWR_RATING_RO_ROLLUP[#Headers],0)),"ERROR"))</f>
        <v>143.1186813187</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3481</v>
      </c>
      <c r="D17" s="155">
        <f>IF($B17=" ","",IFERROR(INDEX(MMWR_RATING_RO_ROLLUP[],MATCH($B17,MMWR_RATING_RO_ROLLUP[MMWR_RATING_RO_ROLLUP],0),MATCH(D$9,MMWR_RATING_RO_ROLLUP[#Headers],0)),"ERROR"))</f>
        <v>99.503303648400006</v>
      </c>
      <c r="E17" s="156">
        <f>IF($B17=" ","",IFERROR(INDEX(MMWR_RATING_RO_ROLLUP[],MATCH($B17,MMWR_RATING_RO_ROLLUP[MMWR_RATING_RO_ROLLUP],0),MATCH(E$9,MMWR_RATING_RO_ROLLUP[#Headers],0))/$C17,"ERROR"))</f>
        <v>0.27291008330939387</v>
      </c>
      <c r="F17" s="154">
        <f>IF($B17=" ","",IFERROR(INDEX(MMWR_RATING_RO_ROLLUP[],MATCH($B17,MMWR_RATING_RO_ROLLUP[MMWR_RATING_RO_ROLLUP],0),MATCH(F$9,MMWR_RATING_RO_ROLLUP[#Headers],0)),"ERROR"))</f>
        <v>410</v>
      </c>
      <c r="G17" s="154">
        <f>IF($B17=" ","",IFERROR(INDEX(MMWR_RATING_RO_ROLLUP[],MATCH($B17,MMWR_RATING_RO_ROLLUP[MMWR_RATING_RO_ROLLUP],0),MATCH(G$9,MMWR_RATING_RO_ROLLUP[#Headers],0)),"ERROR"))</f>
        <v>2330</v>
      </c>
      <c r="H17" s="155">
        <f>IF($B17=" ","",IFERROR(INDEX(MMWR_RATING_RO_ROLLUP[],MATCH($B17,MMWR_RATING_RO_ROLLUP[MMWR_RATING_RO_ROLLUP],0),MATCH(H$9,MMWR_RATING_RO_ROLLUP[#Headers],0)),"ERROR"))</f>
        <v>122.44146341459999</v>
      </c>
      <c r="I17" s="155">
        <f>IF($B17=" ","",IFERROR(INDEX(MMWR_RATING_RO_ROLLUP[],MATCH($B17,MMWR_RATING_RO_ROLLUP[MMWR_RATING_RO_ROLLUP],0),MATCH(I$9,MMWR_RATING_RO_ROLLUP[#Headers],0)),"ERROR"))</f>
        <v>120.874248927</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3539</v>
      </c>
      <c r="D18" s="155">
        <f>IF($B18=" ","",IFERROR(INDEX(MMWR_RATING_RO_ROLLUP[],MATCH($B18,MMWR_RATING_RO_ROLLUP[MMWR_RATING_RO_ROLLUP],0),MATCH(D$9,MMWR_RATING_RO_ROLLUP[#Headers],0)),"ERROR"))</f>
        <v>92.702740887299996</v>
      </c>
      <c r="E18" s="156">
        <f>IF($B18=" ","",IFERROR(INDEX(MMWR_RATING_RO_ROLLUP[],MATCH($B18,MMWR_RATING_RO_ROLLUP[MMWR_RATING_RO_ROLLUP],0),MATCH(E$9,MMWR_RATING_RO_ROLLUP[#Headers],0))/$C18,"ERROR"))</f>
        <v>0.20542526137326927</v>
      </c>
      <c r="F18" s="154">
        <f>IF($B18=" ","",IFERROR(INDEX(MMWR_RATING_RO_ROLLUP[],MATCH($B18,MMWR_RATING_RO_ROLLUP[MMWR_RATING_RO_ROLLUP],0),MATCH(F$9,MMWR_RATING_RO_ROLLUP[#Headers],0)),"ERROR"))</f>
        <v>480</v>
      </c>
      <c r="G18" s="154">
        <f>IF($B18=" ","",IFERROR(INDEX(MMWR_RATING_RO_ROLLUP[],MATCH($B18,MMWR_RATING_RO_ROLLUP[MMWR_RATING_RO_ROLLUP],0),MATCH(G$9,MMWR_RATING_RO_ROLLUP[#Headers],0)),"ERROR"))</f>
        <v>2693</v>
      </c>
      <c r="H18" s="155">
        <f>IF($B18=" ","",IFERROR(INDEX(MMWR_RATING_RO_ROLLUP[],MATCH($B18,MMWR_RATING_RO_ROLLUP[MMWR_RATING_RO_ROLLUP],0),MATCH(H$9,MMWR_RATING_RO_ROLLUP[#Headers],0)),"ERROR"))</f>
        <v>142.75624999999999</v>
      </c>
      <c r="I18" s="155">
        <f>IF($B18=" ","",IFERROR(INDEX(MMWR_RATING_RO_ROLLUP[],MATCH($B18,MMWR_RATING_RO_ROLLUP[MMWR_RATING_RO_ROLLUP],0),MATCH(I$9,MMWR_RATING_RO_ROLLUP[#Headers],0)),"ERROR"))</f>
        <v>149.47344968440001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1915</v>
      </c>
      <c r="D19" s="155">
        <f>IF($B19=" ","",IFERROR(INDEX(MMWR_RATING_RO_ROLLUP[],MATCH($B19,MMWR_RATING_RO_ROLLUP[MMWR_RATING_RO_ROLLUP],0),MATCH(D$9,MMWR_RATING_RO_ROLLUP[#Headers],0)),"ERROR"))</f>
        <v>82.540469973900002</v>
      </c>
      <c r="E19" s="156">
        <f>IF($B19=" ","",IFERROR(INDEX(MMWR_RATING_RO_ROLLUP[],MATCH($B19,MMWR_RATING_RO_ROLLUP[MMWR_RATING_RO_ROLLUP],0),MATCH(E$9,MMWR_RATING_RO_ROLLUP[#Headers],0))/$C19,"ERROR"))</f>
        <v>0.16866840731070495</v>
      </c>
      <c r="F19" s="154">
        <f>IF($B19=" ","",IFERROR(INDEX(MMWR_RATING_RO_ROLLUP[],MATCH($B19,MMWR_RATING_RO_ROLLUP[MMWR_RATING_RO_ROLLUP],0),MATCH(F$9,MMWR_RATING_RO_ROLLUP[#Headers],0)),"ERROR"))</f>
        <v>153</v>
      </c>
      <c r="G19" s="154">
        <f>IF($B19=" ","",IFERROR(INDEX(MMWR_RATING_RO_ROLLUP[],MATCH($B19,MMWR_RATING_RO_ROLLUP[MMWR_RATING_RO_ROLLUP],0),MATCH(G$9,MMWR_RATING_RO_ROLLUP[#Headers],0)),"ERROR"))</f>
        <v>1253</v>
      </c>
      <c r="H19" s="155">
        <f>IF($B19=" ","",IFERROR(INDEX(MMWR_RATING_RO_ROLLUP[],MATCH($B19,MMWR_RATING_RO_ROLLUP[MMWR_RATING_RO_ROLLUP],0),MATCH(H$9,MMWR_RATING_RO_ROLLUP[#Headers],0)),"ERROR"))</f>
        <v>111.0588235294</v>
      </c>
      <c r="I19" s="155">
        <f>IF($B19=" ","",IFERROR(INDEX(MMWR_RATING_RO_ROLLUP[],MATCH($B19,MMWR_RATING_RO_ROLLUP[MMWR_RATING_RO_ROLLUP],0),MATCH(I$9,MMWR_RATING_RO_ROLLUP[#Headers],0)),"ERROR"))</f>
        <v>111.64565043890001</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2561</v>
      </c>
      <c r="D20" s="155">
        <f>IF($B20=" ","",IFERROR(INDEX(MMWR_RATING_RO_ROLLUP[],MATCH($B20,MMWR_RATING_RO_ROLLUP[MMWR_RATING_RO_ROLLUP],0),MATCH(D$9,MMWR_RATING_RO_ROLLUP[#Headers],0)),"ERROR"))</f>
        <v>79.260445138600005</v>
      </c>
      <c r="E20" s="156">
        <f>IF($B20=" ","",IFERROR(INDEX(MMWR_RATING_RO_ROLLUP[],MATCH($B20,MMWR_RATING_RO_ROLLUP[MMWR_RATING_RO_ROLLUP],0),MATCH(E$9,MMWR_RATING_RO_ROLLUP[#Headers],0))/$C20,"ERROR"))</f>
        <v>0.1288559156579461</v>
      </c>
      <c r="F20" s="154">
        <f>IF($B20=" ","",IFERROR(INDEX(MMWR_RATING_RO_ROLLUP[],MATCH($B20,MMWR_RATING_RO_ROLLUP[MMWR_RATING_RO_ROLLUP],0),MATCH(F$9,MMWR_RATING_RO_ROLLUP[#Headers],0)),"ERROR"))</f>
        <v>308</v>
      </c>
      <c r="G20" s="154">
        <f>IF($B20=" ","",IFERROR(INDEX(MMWR_RATING_RO_ROLLUP[],MATCH($B20,MMWR_RATING_RO_ROLLUP[MMWR_RATING_RO_ROLLUP],0),MATCH(G$9,MMWR_RATING_RO_ROLLUP[#Headers],0)),"ERROR"))</f>
        <v>1714</v>
      </c>
      <c r="H20" s="155">
        <f>IF($B20=" ","",IFERROR(INDEX(MMWR_RATING_RO_ROLLUP[],MATCH($B20,MMWR_RATING_RO_ROLLUP[MMWR_RATING_RO_ROLLUP],0),MATCH(H$9,MMWR_RATING_RO_ROLLUP[#Headers],0)),"ERROR"))</f>
        <v>120.2402597403</v>
      </c>
      <c r="I20" s="155">
        <f>IF($B20=" ","",IFERROR(INDEX(MMWR_RATING_RO_ROLLUP[],MATCH($B20,MMWR_RATING_RO_ROLLUP[MMWR_RATING_RO_ROLLUP],0),MATCH(I$9,MMWR_RATING_RO_ROLLUP[#Headers],0)),"ERROR"))</f>
        <v>115.46966161029999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1242</v>
      </c>
      <c r="D21" s="155">
        <f>IF($B21=" ","",IFERROR(INDEX(MMWR_RATING_RO_ROLLUP[],MATCH($B21,MMWR_RATING_RO_ROLLUP[MMWR_RATING_RO_ROLLUP],0),MATCH(D$9,MMWR_RATING_RO_ROLLUP[#Headers],0)),"ERROR"))</f>
        <v>93.993558776200004</v>
      </c>
      <c r="E21" s="156">
        <f>IF($B21=" ","",IFERROR(INDEX(MMWR_RATING_RO_ROLLUP[],MATCH($B21,MMWR_RATING_RO_ROLLUP[MMWR_RATING_RO_ROLLUP],0),MATCH(E$9,MMWR_RATING_RO_ROLLUP[#Headers],0))/$C21,"ERROR"))</f>
        <v>0.21739130434782608</v>
      </c>
      <c r="F21" s="154">
        <f>IF($B21=" ","",IFERROR(INDEX(MMWR_RATING_RO_ROLLUP[],MATCH($B21,MMWR_RATING_RO_ROLLUP[MMWR_RATING_RO_ROLLUP],0),MATCH(F$9,MMWR_RATING_RO_ROLLUP[#Headers],0)),"ERROR"))</f>
        <v>181</v>
      </c>
      <c r="G21" s="154">
        <f>IF($B21=" ","",IFERROR(INDEX(MMWR_RATING_RO_ROLLUP[],MATCH($B21,MMWR_RATING_RO_ROLLUP[MMWR_RATING_RO_ROLLUP],0),MATCH(G$9,MMWR_RATING_RO_ROLLUP[#Headers],0)),"ERROR"))</f>
        <v>766</v>
      </c>
      <c r="H21" s="155">
        <f>IF($B21=" ","",IFERROR(INDEX(MMWR_RATING_RO_ROLLUP[],MATCH($B21,MMWR_RATING_RO_ROLLUP[MMWR_RATING_RO_ROLLUP],0),MATCH(H$9,MMWR_RATING_RO_ROLLUP[#Headers],0)),"ERROR"))</f>
        <v>133.57458563540001</v>
      </c>
      <c r="I21" s="155">
        <f>IF($B21=" ","",IFERROR(INDEX(MMWR_RATING_RO_ROLLUP[],MATCH($B21,MMWR_RATING_RO_ROLLUP[MMWR_RATING_RO_ROLLUP],0),MATCH(I$9,MMWR_RATING_RO_ROLLUP[#Headers],0)),"ERROR"))</f>
        <v>131.318537859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4929</v>
      </c>
      <c r="D22" s="155">
        <f>IF($B22=" ","",IFERROR(INDEX(MMWR_RATING_RO_ROLLUP[],MATCH($B22,MMWR_RATING_RO_ROLLUP[MMWR_RATING_RO_ROLLUP],0),MATCH(D$9,MMWR_RATING_RO_ROLLUP[#Headers],0)),"ERROR"))</f>
        <v>94.349969567900004</v>
      </c>
      <c r="E22" s="156">
        <f>IF($B22=" ","",IFERROR(INDEX(MMWR_RATING_RO_ROLLUP[],MATCH($B22,MMWR_RATING_RO_ROLLUP[MMWR_RATING_RO_ROLLUP],0),MATCH(E$9,MMWR_RATING_RO_ROLLUP[#Headers],0))/$C22,"ERROR"))</f>
        <v>0.23595049705822682</v>
      </c>
      <c r="F22" s="154">
        <f>IF($B22=" ","",IFERROR(INDEX(MMWR_RATING_RO_ROLLUP[],MATCH($B22,MMWR_RATING_RO_ROLLUP[MMWR_RATING_RO_ROLLUP],0),MATCH(F$9,MMWR_RATING_RO_ROLLUP[#Headers],0)),"ERROR"))</f>
        <v>483</v>
      </c>
      <c r="G22" s="154">
        <f>IF($B22=" ","",IFERROR(INDEX(MMWR_RATING_RO_ROLLUP[],MATCH($B22,MMWR_RATING_RO_ROLLUP[MMWR_RATING_RO_ROLLUP],0),MATCH(G$9,MMWR_RATING_RO_ROLLUP[#Headers],0)),"ERROR"))</f>
        <v>2728</v>
      </c>
      <c r="H22" s="155">
        <f>IF($B22=" ","",IFERROR(INDEX(MMWR_RATING_RO_ROLLUP[],MATCH($B22,MMWR_RATING_RO_ROLLUP[MMWR_RATING_RO_ROLLUP],0),MATCH(H$9,MMWR_RATING_RO_ROLLUP[#Headers],0)),"ERROR"))</f>
        <v>146.65217391300001</v>
      </c>
      <c r="I22" s="155">
        <f>IF($B22=" ","",IFERROR(INDEX(MMWR_RATING_RO_ROLLUP[],MATCH($B22,MMWR_RATING_RO_ROLLUP[MMWR_RATING_RO_ROLLUP],0),MATCH(I$9,MMWR_RATING_RO_ROLLUP[#Headers],0)),"ERROR"))</f>
        <v>140.66202346040001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2771</v>
      </c>
      <c r="D23" s="155">
        <f>IF($B23=" ","",IFERROR(INDEX(MMWR_RATING_RO_ROLLUP[],MATCH($B23,MMWR_RATING_RO_ROLLUP[MMWR_RATING_RO_ROLLUP],0),MATCH(D$9,MMWR_RATING_RO_ROLLUP[#Headers],0)),"ERROR"))</f>
        <v>83.552508119799995</v>
      </c>
      <c r="E23" s="156">
        <f>IF($B23=" ","",IFERROR(INDEX(MMWR_RATING_RO_ROLLUP[],MATCH($B23,MMWR_RATING_RO_ROLLUP[MMWR_RATING_RO_ROLLUP],0),MATCH(E$9,MMWR_RATING_RO_ROLLUP[#Headers],0))/$C23,"ERROR"))</f>
        <v>0.18910140743413931</v>
      </c>
      <c r="F23" s="154">
        <f>IF($B23=" ","",IFERROR(INDEX(MMWR_RATING_RO_ROLLUP[],MATCH($B23,MMWR_RATING_RO_ROLLUP[MMWR_RATING_RO_ROLLUP],0),MATCH(F$9,MMWR_RATING_RO_ROLLUP[#Headers],0)),"ERROR"))</f>
        <v>211</v>
      </c>
      <c r="G23" s="154">
        <f>IF($B23=" ","",IFERROR(INDEX(MMWR_RATING_RO_ROLLUP[],MATCH($B23,MMWR_RATING_RO_ROLLUP[MMWR_RATING_RO_ROLLUP],0),MATCH(G$9,MMWR_RATING_RO_ROLLUP[#Headers],0)),"ERROR"))</f>
        <v>1664</v>
      </c>
      <c r="H23" s="155">
        <f>IF($B23=" ","",IFERROR(INDEX(MMWR_RATING_RO_ROLLUP[],MATCH($B23,MMWR_RATING_RO_ROLLUP[MMWR_RATING_RO_ROLLUP],0),MATCH(H$9,MMWR_RATING_RO_ROLLUP[#Headers],0)),"ERROR"))</f>
        <v>158.0853080569</v>
      </c>
      <c r="I23" s="155">
        <f>IF($B23=" ","",IFERROR(INDEX(MMWR_RATING_RO_ROLLUP[],MATCH($B23,MMWR_RATING_RO_ROLLUP[MMWR_RATING_RO_ROLLUP],0),MATCH(I$9,MMWR_RATING_RO_ROLLUP[#Headers],0)),"ERROR"))</f>
        <v>142.54987980769999</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7583</v>
      </c>
      <c r="D24" s="155">
        <f>IF($B24=" ","",IFERROR(INDEX(MMWR_RATING_RO_ROLLUP[],MATCH($B24,MMWR_RATING_RO_ROLLUP[MMWR_RATING_RO_ROLLUP],0),MATCH(D$9,MMWR_RATING_RO_ROLLUP[#Headers],0)),"ERROR"))</f>
        <v>110.95226163789999</v>
      </c>
      <c r="E24" s="156">
        <f>IF($B24=" ","",IFERROR(INDEX(MMWR_RATING_RO_ROLLUP[],MATCH($B24,MMWR_RATING_RO_ROLLUP[MMWR_RATING_RO_ROLLUP],0),MATCH(E$9,MMWR_RATING_RO_ROLLUP[#Headers],0))/$C24,"ERROR"))</f>
        <v>0.28708954239746803</v>
      </c>
      <c r="F24" s="154">
        <f>IF($B24=" ","",IFERROR(INDEX(MMWR_RATING_RO_ROLLUP[],MATCH($B24,MMWR_RATING_RO_ROLLUP[MMWR_RATING_RO_ROLLUP],0),MATCH(F$9,MMWR_RATING_RO_ROLLUP[#Headers],0)),"ERROR"))</f>
        <v>950</v>
      </c>
      <c r="G24" s="154">
        <f>IF($B24=" ","",IFERROR(INDEX(MMWR_RATING_RO_ROLLUP[],MATCH($B24,MMWR_RATING_RO_ROLLUP[MMWR_RATING_RO_ROLLUP],0),MATCH(G$9,MMWR_RATING_RO_ROLLUP[#Headers],0)),"ERROR"))</f>
        <v>4964</v>
      </c>
      <c r="H24" s="155">
        <f>IF($B24=" ","",IFERROR(INDEX(MMWR_RATING_RO_ROLLUP[],MATCH($B24,MMWR_RATING_RO_ROLLUP[MMWR_RATING_RO_ROLLUP],0),MATCH(H$9,MMWR_RATING_RO_ROLLUP[#Headers],0)),"ERROR"))</f>
        <v>152.7431578947</v>
      </c>
      <c r="I24" s="155">
        <f>IF($B24=" ","",IFERROR(INDEX(MMWR_RATING_RO_ROLLUP[],MATCH($B24,MMWR_RATING_RO_ROLLUP[MMWR_RATING_RO_ROLLUP],0),MATCH(I$9,MMWR_RATING_RO_ROLLUP[#Headers],0)),"ERROR"))</f>
        <v>158.3277598711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4979</v>
      </c>
      <c r="D25" s="155">
        <f>IF($B25=" ","",IFERROR(INDEX(MMWR_RATING_RO_ROLLUP[],MATCH($B25,MMWR_RATING_RO_ROLLUP[MMWR_RATING_RO_ROLLUP],0),MATCH(D$9,MMWR_RATING_RO_ROLLUP[#Headers],0)),"ERROR"))</f>
        <v>110.88592086760001</v>
      </c>
      <c r="E25" s="156">
        <f>IF($B25=" ","",IFERROR(INDEX(MMWR_RATING_RO_ROLLUP[],MATCH($B25,MMWR_RATING_RO_ROLLUP[MMWR_RATING_RO_ROLLUP],0),MATCH(E$9,MMWR_RATING_RO_ROLLUP[#Headers],0))/$C25,"ERROR"))</f>
        <v>0.29885519180558345</v>
      </c>
      <c r="F25" s="154">
        <f>IF($B25=" ","",IFERROR(INDEX(MMWR_RATING_RO_ROLLUP[],MATCH($B25,MMWR_RATING_RO_ROLLUP[MMWR_RATING_RO_ROLLUP],0),MATCH(F$9,MMWR_RATING_RO_ROLLUP[#Headers],0)),"ERROR"))</f>
        <v>465</v>
      </c>
      <c r="G25" s="154">
        <f>IF($B25=" ","",IFERROR(INDEX(MMWR_RATING_RO_ROLLUP[],MATCH($B25,MMWR_RATING_RO_ROLLUP[MMWR_RATING_RO_ROLLUP],0),MATCH(G$9,MMWR_RATING_RO_ROLLUP[#Headers],0)),"ERROR"))</f>
        <v>2709</v>
      </c>
      <c r="H25" s="155">
        <f>IF($B25=" ","",IFERROR(INDEX(MMWR_RATING_RO_ROLLUP[],MATCH($B25,MMWR_RATING_RO_ROLLUP[MMWR_RATING_RO_ROLLUP],0),MATCH(H$9,MMWR_RATING_RO_ROLLUP[#Headers],0)),"ERROR"))</f>
        <v>164.4193548387</v>
      </c>
      <c r="I25" s="155">
        <f>IF($B25=" ","",IFERROR(INDEX(MMWR_RATING_RO_ROLLUP[],MATCH($B25,MMWR_RATING_RO_ROLLUP[MMWR_RATING_RO_ROLLUP],0),MATCH(I$9,MMWR_RATING_RO_ROLLUP[#Headers],0)),"ERROR"))</f>
        <v>162.95717977109999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2426</v>
      </c>
      <c r="D26" s="155">
        <f>IF($B26=" ","",IFERROR(INDEX(MMWR_RATING_RO_ROLLUP[],MATCH($B26,MMWR_RATING_RO_ROLLUP[MMWR_RATING_RO_ROLLUP],0),MATCH(D$9,MMWR_RATING_RO_ROLLUP[#Headers],0)),"ERROR"))</f>
        <v>76.806677658699996</v>
      </c>
      <c r="E26" s="156">
        <f>IF($B26=" ","",IFERROR(INDEX(MMWR_RATING_RO_ROLLUP[],MATCH($B26,MMWR_RATING_RO_ROLLUP[MMWR_RATING_RO_ROLLUP],0),MATCH(E$9,MMWR_RATING_RO_ROLLUP[#Headers],0))/$C26,"ERROR"))</f>
        <v>0.16405605935696621</v>
      </c>
      <c r="F26" s="154">
        <f>IF($B26=" ","",IFERROR(INDEX(MMWR_RATING_RO_ROLLUP[],MATCH($B26,MMWR_RATING_RO_ROLLUP[MMWR_RATING_RO_ROLLUP],0),MATCH(F$9,MMWR_RATING_RO_ROLLUP[#Headers],0)),"ERROR"))</f>
        <v>739</v>
      </c>
      <c r="G26" s="154">
        <f>IF($B26=" ","",IFERROR(INDEX(MMWR_RATING_RO_ROLLUP[],MATCH($B26,MMWR_RATING_RO_ROLLUP[MMWR_RATING_RO_ROLLUP],0),MATCH(G$9,MMWR_RATING_RO_ROLLUP[#Headers],0)),"ERROR"))</f>
        <v>3974</v>
      </c>
      <c r="H26" s="155">
        <f>IF($B26=" ","",IFERROR(INDEX(MMWR_RATING_RO_ROLLUP[],MATCH($B26,MMWR_RATING_RO_ROLLUP[MMWR_RATING_RO_ROLLUP],0),MATCH(H$9,MMWR_RATING_RO_ROLLUP[#Headers],0)),"ERROR"))</f>
        <v>52.293640054100003</v>
      </c>
      <c r="I26" s="155">
        <f>IF($B26=" ","",IFERROR(INDEX(MMWR_RATING_RO_ROLLUP[],MATCH($B26,MMWR_RATING_RO_ROLLUP[MMWR_RATING_RO_ROLLUP],0),MATCH(I$9,MMWR_RATING_RO_ROLLUP[#Headers],0)),"ERROR"))</f>
        <v>50.845495722199999</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11203</v>
      </c>
      <c r="D27" s="155">
        <f>IF($B27=" ","",IFERROR(INDEX(MMWR_RATING_RO_ROLLUP[],MATCH($B27,MMWR_RATING_RO_ROLLUP[MMWR_RATING_RO_ROLLUP],0),MATCH(D$9,MMWR_RATING_RO_ROLLUP[#Headers],0)),"ERROR"))</f>
        <v>88.269659912500003</v>
      </c>
      <c r="E27" s="156">
        <f>IF($B27=" ","",IFERROR(INDEX(MMWR_RATING_RO_ROLLUP[],MATCH($B27,MMWR_RATING_RO_ROLLUP[MMWR_RATING_RO_ROLLUP],0),MATCH(E$9,MMWR_RATING_RO_ROLLUP[#Headers],0))/$C27,"ERROR"))</f>
        <v>0.18459341247880032</v>
      </c>
      <c r="F27" s="154">
        <f>IF($B27=" ","",IFERROR(INDEX(MMWR_RATING_RO_ROLLUP[],MATCH($B27,MMWR_RATING_RO_ROLLUP[MMWR_RATING_RO_ROLLUP],0),MATCH(F$9,MMWR_RATING_RO_ROLLUP[#Headers],0)),"ERROR"))</f>
        <v>934</v>
      </c>
      <c r="G27" s="154">
        <f>IF($B27=" ","",IFERROR(INDEX(MMWR_RATING_RO_ROLLUP[],MATCH($B27,MMWR_RATING_RO_ROLLUP[MMWR_RATING_RO_ROLLUP],0),MATCH(G$9,MMWR_RATING_RO_ROLLUP[#Headers],0)),"ERROR"))</f>
        <v>6060</v>
      </c>
      <c r="H27" s="155">
        <f>IF($B27=" ","",IFERROR(INDEX(MMWR_RATING_RO_ROLLUP[],MATCH($B27,MMWR_RATING_RO_ROLLUP[MMWR_RATING_RO_ROLLUP],0),MATCH(H$9,MMWR_RATING_RO_ROLLUP[#Headers],0)),"ERROR"))</f>
        <v>166.70663811559999</v>
      </c>
      <c r="I27" s="155">
        <f>IF($B27=" ","",IFERROR(INDEX(MMWR_RATING_RO_ROLLUP[],MATCH($B27,MMWR_RATING_RO_ROLLUP[MMWR_RATING_RO_ROLLUP],0),MATCH(I$9,MMWR_RATING_RO_ROLLUP[#Headers],0)),"ERROR"))</f>
        <v>147.14917491750001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1224</v>
      </c>
      <c r="D28" s="155">
        <f>IF($B28=" ","",IFERROR(INDEX(MMWR_RATING_RO_ROLLUP[],MATCH($B28,MMWR_RATING_RO_ROLLUP[MMWR_RATING_RO_ROLLUP],0),MATCH(D$9,MMWR_RATING_RO_ROLLUP[#Headers],0)),"ERROR"))</f>
        <v>71.982026143799999</v>
      </c>
      <c r="E28" s="156">
        <f>IF($B28=" ","",IFERROR(INDEX(MMWR_RATING_RO_ROLLUP[],MATCH($B28,MMWR_RATING_RO_ROLLUP[MMWR_RATING_RO_ROLLUP],0),MATCH(E$9,MMWR_RATING_RO_ROLLUP[#Headers],0))/$C28,"ERROR"))</f>
        <v>0.12663398692810457</v>
      </c>
      <c r="F28" s="154">
        <f>IF($B28=" ","",IFERROR(INDEX(MMWR_RATING_RO_ROLLUP[],MATCH($B28,MMWR_RATING_RO_ROLLUP[MMWR_RATING_RO_ROLLUP],0),MATCH(F$9,MMWR_RATING_RO_ROLLUP[#Headers],0)),"ERROR"))</f>
        <v>176</v>
      </c>
      <c r="G28" s="154">
        <f>IF($B28=" ","",IFERROR(INDEX(MMWR_RATING_RO_ROLLUP[],MATCH($B28,MMWR_RATING_RO_ROLLUP[MMWR_RATING_RO_ROLLUP],0),MATCH(G$9,MMWR_RATING_RO_ROLLUP[#Headers],0)),"ERROR"))</f>
        <v>1017</v>
      </c>
      <c r="H28" s="155">
        <f>IF($B28=" ","",IFERROR(INDEX(MMWR_RATING_RO_ROLLUP[],MATCH($B28,MMWR_RATING_RO_ROLLUP[MMWR_RATING_RO_ROLLUP],0),MATCH(H$9,MMWR_RATING_RO_ROLLUP[#Headers],0)),"ERROR"))</f>
        <v>98.693181818200003</v>
      </c>
      <c r="I28" s="155">
        <f>IF($B28=" ","",IFERROR(INDEX(MMWR_RATING_RO_ROLLUP[],MATCH($B28,MMWR_RATING_RO_ROLLUP[MMWR_RATING_RO_ROLLUP],0),MATCH(I$9,MMWR_RATING_RO_ROLLUP[#Headers],0)),"ERROR"))</f>
        <v>105.6784660767</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545</v>
      </c>
      <c r="D29" s="155">
        <f>IF($B29=" ","",IFERROR(INDEX(MMWR_RATING_RO_ROLLUP[],MATCH($B29,MMWR_RATING_RO_ROLLUP[MMWR_RATING_RO_ROLLUP],0),MATCH(D$9,MMWR_RATING_RO_ROLLUP[#Headers],0)),"ERROR"))</f>
        <v>92.262385321099998</v>
      </c>
      <c r="E29" s="156">
        <f>IF($B29=" ","",IFERROR(INDEX(MMWR_RATING_RO_ROLLUP[],MATCH($B29,MMWR_RATING_RO_ROLLUP[MMWR_RATING_RO_ROLLUP],0),MATCH(E$9,MMWR_RATING_RO_ROLLUP[#Headers],0))/$C29,"ERROR"))</f>
        <v>0.23302752293577983</v>
      </c>
      <c r="F29" s="154">
        <f>IF($B29=" ","",IFERROR(INDEX(MMWR_RATING_RO_ROLLUP[],MATCH($B29,MMWR_RATING_RO_ROLLUP[MMWR_RATING_RO_ROLLUP],0),MATCH(F$9,MMWR_RATING_RO_ROLLUP[#Headers],0)),"ERROR"))</f>
        <v>42</v>
      </c>
      <c r="G29" s="154">
        <f>IF($B29=" ","",IFERROR(INDEX(MMWR_RATING_RO_ROLLUP[],MATCH($B29,MMWR_RATING_RO_ROLLUP[MMWR_RATING_RO_ROLLUP],0),MATCH(G$9,MMWR_RATING_RO_ROLLUP[#Headers],0)),"ERROR"))</f>
        <v>164</v>
      </c>
      <c r="H29" s="155">
        <f>IF($B29=" ","",IFERROR(INDEX(MMWR_RATING_RO_ROLLUP[],MATCH($B29,MMWR_RATING_RO_ROLLUP[MMWR_RATING_RO_ROLLUP],0),MATCH(H$9,MMWR_RATING_RO_ROLLUP[#Headers],0)),"ERROR"))</f>
        <v>146.45238095240001</v>
      </c>
      <c r="I29" s="155">
        <f>IF($B29=" ","",IFERROR(INDEX(MMWR_RATING_RO_ROLLUP[],MATCH($B29,MMWR_RATING_RO_ROLLUP[MMWR_RATING_RO_ROLLUP],0),MATCH(I$9,MMWR_RATING_RO_ROLLUP[#Headers],0)),"ERROR"))</f>
        <v>132.91463414629999</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758</v>
      </c>
      <c r="D30" s="155">
        <f>IF($B30=" ","",IFERROR(INDEX(MMWR_RATING_RO_ROLLUP[],MATCH($B30,MMWR_RATING_RO_ROLLUP[MMWR_RATING_RO_ROLLUP],0),MATCH(D$9,MMWR_RATING_RO_ROLLUP[#Headers],0)),"ERROR"))</f>
        <v>105.7335092348</v>
      </c>
      <c r="E30" s="156">
        <f>IF($B30=" ","",IFERROR(INDEX(MMWR_RATING_RO_ROLLUP[],MATCH($B30,MMWR_RATING_RO_ROLLUP[MMWR_RATING_RO_ROLLUP],0),MATCH(E$9,MMWR_RATING_RO_ROLLUP[#Headers],0))/$C30,"ERROR"))</f>
        <v>0.29287598944591031</v>
      </c>
      <c r="F30" s="154">
        <f>IF($B30=" ","",IFERROR(INDEX(MMWR_RATING_RO_ROLLUP[],MATCH($B30,MMWR_RATING_RO_ROLLUP[MMWR_RATING_RO_ROLLUP],0),MATCH(F$9,MMWR_RATING_RO_ROLLUP[#Headers],0)),"ERROR"))</f>
        <v>66</v>
      </c>
      <c r="G30" s="154">
        <f>IF($B30=" ","",IFERROR(INDEX(MMWR_RATING_RO_ROLLUP[],MATCH($B30,MMWR_RATING_RO_ROLLUP[MMWR_RATING_RO_ROLLUP],0),MATCH(G$9,MMWR_RATING_RO_ROLLUP[#Headers],0)),"ERROR"))</f>
        <v>482</v>
      </c>
      <c r="H30" s="155">
        <f>IF($B30=" ","",IFERROR(INDEX(MMWR_RATING_RO_ROLLUP[],MATCH($B30,MMWR_RATING_RO_ROLLUP[MMWR_RATING_RO_ROLLUP],0),MATCH(H$9,MMWR_RATING_RO_ROLLUP[#Headers],0)),"ERROR"))</f>
        <v>150.04545454550001</v>
      </c>
      <c r="I30" s="155">
        <f>IF($B30=" ","",IFERROR(INDEX(MMWR_RATING_RO_ROLLUP[],MATCH($B30,MMWR_RATING_RO_ROLLUP[MMWR_RATING_RO_ROLLUP],0),MATCH(I$9,MMWR_RATING_RO_ROLLUP[#Headers],0)),"ERROR"))</f>
        <v>140.07053941909999</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17175</v>
      </c>
      <c r="D31" s="155">
        <f>IF($B31=" ","",IFERROR(INDEX(MMWR_RATING_RO_ROLLUP[],MATCH($B31,MMWR_RATING_RO_ROLLUP[MMWR_RATING_RO_ROLLUP],0),MATCH(D$9,MMWR_RATING_RO_ROLLUP[#Headers],0)),"ERROR"))</f>
        <v>99.232663755499999</v>
      </c>
      <c r="E31" s="156">
        <f>IF($B31=" ","",IFERROR(INDEX(MMWR_RATING_RO_ROLLUP[],MATCH($B31,MMWR_RATING_RO_ROLLUP[MMWR_RATING_RO_ROLLUP],0),MATCH(E$9,MMWR_RATING_RO_ROLLUP[#Headers],0))/$C31,"ERROR"))</f>
        <v>0.2497816593886463</v>
      </c>
      <c r="F31" s="154">
        <f>IF($B31=" ","",IFERROR(INDEX(MMWR_RATING_RO_ROLLUP[],MATCH($B31,MMWR_RATING_RO_ROLLUP[MMWR_RATING_RO_ROLLUP],0),MATCH(F$9,MMWR_RATING_RO_ROLLUP[#Headers],0)),"ERROR"))</f>
        <v>2005</v>
      </c>
      <c r="G31" s="154">
        <f>IF($B31=" ","",IFERROR(INDEX(MMWR_RATING_RO_ROLLUP[],MATCH($B31,MMWR_RATING_RO_ROLLUP[MMWR_RATING_RO_ROLLUP],0),MATCH(G$9,MMWR_RATING_RO_ROLLUP[#Headers],0)),"ERROR"))</f>
        <v>10670</v>
      </c>
      <c r="H31" s="155">
        <f>IF($B31=" ","",IFERROR(INDEX(MMWR_RATING_RO_ROLLUP[],MATCH($B31,MMWR_RATING_RO_ROLLUP[MMWR_RATING_RO_ROLLUP],0),MATCH(H$9,MMWR_RATING_RO_ROLLUP[#Headers],0)),"ERROR"))</f>
        <v>144.6548628429</v>
      </c>
      <c r="I31" s="155">
        <f>IF($B31=" ","",IFERROR(INDEX(MMWR_RATING_RO_ROLLUP[],MATCH($B31,MMWR_RATING_RO_ROLLUP[MMWR_RATING_RO_ROLLUP],0),MATCH(I$9,MMWR_RATING_RO_ROLLUP[#Headers],0)),"ERROR"))</f>
        <v>149.76982193059999</v>
      </c>
      <c r="J31" s="42"/>
      <c r="K31" s="42"/>
      <c r="L31" s="42"/>
      <c r="M31" s="42"/>
      <c r="N31" s="28"/>
    </row>
    <row r="32" spans="1:14" x14ac:dyDescent="0.2">
      <c r="A32" s="25"/>
      <c r="B32" s="342" t="s">
        <v>740</v>
      </c>
      <c r="C32" s="343"/>
      <c r="D32" s="343"/>
      <c r="E32" s="343"/>
      <c r="F32" s="343"/>
      <c r="G32" s="343"/>
      <c r="H32" s="343"/>
      <c r="I32" s="343"/>
      <c r="J32" s="343"/>
      <c r="K32" s="343"/>
      <c r="L32" s="343"/>
      <c r="M32" s="393"/>
      <c r="N32" s="28"/>
    </row>
    <row r="33" spans="1:14" x14ac:dyDescent="0.2">
      <c r="A33" s="25"/>
      <c r="B33" s="11" t="s">
        <v>703</v>
      </c>
      <c r="C33" s="154">
        <f>IF($B33=" ","",IFERROR(INDEX(MMWR_RATING_RO_ROLLUP[],MATCH($B33,MMWR_RATING_RO_ROLLUP[MMWR_RATING_RO_ROLLUP],0),MATCH(C$9,MMWR_RATING_RO_ROLLUP[#Headers],0)),"ERROR"))</f>
        <v>26172</v>
      </c>
      <c r="D33" s="155">
        <f>IF($B33=" ","",IFERROR(INDEX(MMWR_RATING_RO_ROLLUP[],MATCH($B33,MMWR_RATING_RO_ROLLUP[MMWR_RATING_RO_ROLLUP],0),MATCH(D$9,MMWR_RATING_RO_ROLLUP[#Headers],0)),"ERROR"))</f>
        <v>64.723597737999995</v>
      </c>
      <c r="E33" s="156">
        <f>IF($B33=" ","",IFERROR(INDEX(MMWR_RATING_RO_ROLLUP[],MATCH($B33,MMWR_RATING_RO_ROLLUP[MMWR_RATING_RO_ROLLUP],0),MATCH(E$9,MMWR_RATING_RO_ROLLUP[#Headers],0))/$C33,"ERROR"))</f>
        <v>8.658107901574201E-2</v>
      </c>
      <c r="F33" s="154">
        <f>IF($B33=" ","",IFERROR(INDEX(MMWR_RATING_RO_ROLLUP[],MATCH($B33,MMWR_RATING_RO_ROLLUP[MMWR_RATING_RO_ROLLUP],0),MATCH(F$9,MMWR_RATING_RO_ROLLUP[#Headers],0)),"ERROR"))</f>
        <v>5070</v>
      </c>
      <c r="G33" s="154">
        <f>IF($B33=" ","",IFERROR(INDEX(MMWR_RATING_RO_ROLLUP[],MATCH($B33,MMWR_RATING_RO_ROLLUP[MMWR_RATING_RO_ROLLUP],0),MATCH(G$9,MMWR_RATING_RO_ROLLUP[#Headers],0)),"ERROR"))</f>
        <v>28622</v>
      </c>
      <c r="H33" s="155">
        <f>IF($B33=" ","",IFERROR(INDEX(MMWR_RATING_RO_ROLLUP[],MATCH($B33,MMWR_RATING_RO_ROLLUP[MMWR_RATING_RO_ROLLUP],0),MATCH(H$9,MMWR_RATING_RO_ROLLUP[#Headers],0)),"ERROR"))</f>
        <v>76.250493096599996</v>
      </c>
      <c r="I33" s="155">
        <f>IF($B33=" ","",IFERROR(INDEX(MMWR_RATING_RO_ROLLUP[],MATCH($B33,MMWR_RATING_RO_ROLLUP[MMWR_RATING_RO_ROLLUP],0),MATCH(I$9,MMWR_RATING_RO_ROLLUP[#Headers],0)),"ERROR"))</f>
        <v>70.697260848300004</v>
      </c>
      <c r="J33" s="42"/>
      <c r="K33" s="42"/>
      <c r="L33" s="42"/>
      <c r="M33" s="42"/>
      <c r="N33" s="28"/>
    </row>
    <row r="34" spans="1:14" x14ac:dyDescent="0.2">
      <c r="A34" s="25"/>
      <c r="B34" s="12" t="s">
        <v>216</v>
      </c>
      <c r="C34" s="154">
        <f>IF($B34=" ","",IFERROR(INDEX(MMWR_RATING_RO_ROLLUP[],MATCH($B34,MMWR_RATING_RO_ROLLUP[MMWR_RATING_RO_ROLLUP],0),MATCH(C$9,MMWR_RATING_RO_ROLLUP[#Headers],0)),"ERROR"))</f>
        <v>11307</v>
      </c>
      <c r="D34" s="155">
        <f>IF($B34=" ","",IFERROR(INDEX(MMWR_RATING_RO_ROLLUP[],MATCH($B34,MMWR_RATING_RO_ROLLUP[MMWR_RATING_RO_ROLLUP],0),MATCH(D$9,MMWR_RATING_RO_ROLLUP[#Headers],0)),"ERROR"))</f>
        <v>63.0918015389</v>
      </c>
      <c r="E34" s="156">
        <f>IF($B34=" ","",IFERROR(INDEX(MMWR_RATING_RO_ROLLUP[],MATCH($B34,MMWR_RATING_RO_ROLLUP[MMWR_RATING_RO_ROLLUP],0),MATCH(E$9,MMWR_RATING_RO_ROLLUP[#Headers],0))/$C34,"ERROR"))</f>
        <v>8.2338374458300168E-2</v>
      </c>
      <c r="F34" s="154">
        <f>IF($B34=" ","",IFERROR(INDEX(MMWR_RATING_RO_ROLLUP[],MATCH($B34,MMWR_RATING_RO_ROLLUP[MMWR_RATING_RO_ROLLUP],0),MATCH(F$9,MMWR_RATING_RO_ROLLUP[#Headers],0)),"ERROR"))</f>
        <v>1630</v>
      </c>
      <c r="G34" s="154">
        <f>IF($B34=" ","",IFERROR(INDEX(MMWR_RATING_RO_ROLLUP[],MATCH($B34,MMWR_RATING_RO_ROLLUP[MMWR_RATING_RO_ROLLUP],0),MATCH(G$9,MMWR_RATING_RO_ROLLUP[#Headers],0)),"ERROR"))</f>
        <v>8897</v>
      </c>
      <c r="H34" s="155">
        <f>IF($B34=" ","",IFERROR(INDEX(MMWR_RATING_RO_ROLLUP[],MATCH($B34,MMWR_RATING_RO_ROLLUP[MMWR_RATING_RO_ROLLUP],0),MATCH(H$9,MMWR_RATING_RO_ROLLUP[#Headers],0)),"ERROR"))</f>
        <v>87.892638036799994</v>
      </c>
      <c r="I34" s="155">
        <f>IF($B34=" ","",IFERROR(INDEX(MMWR_RATING_RO_ROLLUP[],MATCH($B34,MMWR_RATING_RO_ROLLUP[MMWR_RATING_RO_ROLLUP],0),MATCH(I$9,MMWR_RATING_RO_ROLLUP[#Headers],0)),"ERROR"))</f>
        <v>82.690232662699998</v>
      </c>
      <c r="J34" s="42"/>
      <c r="K34" s="42"/>
      <c r="L34" s="42"/>
      <c r="M34" s="42"/>
      <c r="N34" s="28"/>
    </row>
    <row r="35" spans="1:14" x14ac:dyDescent="0.2">
      <c r="A35" s="43"/>
      <c r="B35" s="12" t="s">
        <v>215</v>
      </c>
      <c r="C35" s="154">
        <f>IF($B35=" ","",IFERROR(INDEX(MMWR_RATING_RO_ROLLUP[],MATCH($B35,MMWR_RATING_RO_ROLLUP[MMWR_RATING_RO_ROLLUP],0),MATCH(C$9,MMWR_RATING_RO_ROLLUP[#Headers],0)),"ERROR"))</f>
        <v>7071</v>
      </c>
      <c r="D35" s="155">
        <f>IF($B35=" ","",IFERROR(INDEX(MMWR_RATING_RO_ROLLUP[],MATCH($B35,MMWR_RATING_RO_ROLLUP[MMWR_RATING_RO_ROLLUP],0),MATCH(D$9,MMWR_RATING_RO_ROLLUP[#Headers],0)),"ERROR"))</f>
        <v>64.223872153900004</v>
      </c>
      <c r="E35" s="156">
        <f>IF($B35=" ","",IFERROR(INDEX(MMWR_RATING_RO_ROLLUP[],MATCH($B35,MMWR_RATING_RO_ROLLUP[MMWR_RATING_RO_ROLLUP],0),MATCH(E$9,MMWR_RATING_RO_ROLLUP[#Headers],0))/$C35,"ERROR"))</f>
        <v>8.2590864092773303E-2</v>
      </c>
      <c r="F35" s="154">
        <f>IF($B35=" ","",IFERROR(INDEX(MMWR_RATING_RO_ROLLUP[],MATCH($B35,MMWR_RATING_RO_ROLLUP[MMWR_RATING_RO_ROLLUP],0),MATCH(F$9,MMWR_RATING_RO_ROLLUP[#Headers],0)),"ERROR"))</f>
        <v>1530</v>
      </c>
      <c r="G35" s="154">
        <f>IF($B35=" ","",IFERROR(INDEX(MMWR_RATING_RO_ROLLUP[],MATCH($B35,MMWR_RATING_RO_ROLLUP[MMWR_RATING_RO_ROLLUP],0),MATCH(G$9,MMWR_RATING_RO_ROLLUP[#Headers],0)),"ERROR"))</f>
        <v>7832</v>
      </c>
      <c r="H35" s="155">
        <f>IF($B35=" ","",IFERROR(INDEX(MMWR_RATING_RO_ROLLUP[],MATCH($B35,MMWR_RATING_RO_ROLLUP[MMWR_RATING_RO_ROLLUP],0),MATCH(H$9,MMWR_RATING_RO_ROLLUP[#Headers],0)),"ERROR"))</f>
        <v>73.009150326799997</v>
      </c>
      <c r="I35" s="155">
        <f>IF($B35=" ","",IFERROR(INDEX(MMWR_RATING_RO_ROLLUP[],MATCH($B35,MMWR_RATING_RO_ROLLUP[MMWR_RATING_RO_ROLLUP],0),MATCH(I$9,MMWR_RATING_RO_ROLLUP[#Headers],0)),"ERROR"))</f>
        <v>67.175817160400001</v>
      </c>
      <c r="J35" s="42"/>
      <c r="K35" s="42"/>
      <c r="L35" s="42"/>
      <c r="M35" s="42"/>
      <c r="N35" s="28"/>
    </row>
    <row r="36" spans="1:14" x14ac:dyDescent="0.2">
      <c r="A36" s="25"/>
      <c r="B36" s="12" t="s">
        <v>218</v>
      </c>
      <c r="C36" s="154">
        <f>IF($B36=" ","",IFERROR(INDEX(MMWR_RATING_RO_ROLLUP[],MATCH($B36,MMWR_RATING_RO_ROLLUP[MMWR_RATING_RO_ROLLUP],0),MATCH(C$9,MMWR_RATING_RO_ROLLUP[#Headers],0)),"ERROR"))</f>
        <v>7192</v>
      </c>
      <c r="D36" s="155">
        <f>IF($B36=" ","",IFERROR(INDEX(MMWR_RATING_RO_ROLLUP[],MATCH($B36,MMWR_RATING_RO_ROLLUP[MMWR_RATING_RO_ROLLUP],0),MATCH(D$9,MMWR_RATING_RO_ROLLUP[#Headers],0)),"ERROR"))</f>
        <v>58.9838709677</v>
      </c>
      <c r="E36" s="156">
        <f>IF($B36=" ","",IFERROR(INDEX(MMWR_RATING_RO_ROLLUP[],MATCH($B36,MMWR_RATING_RO_ROLLUP[MMWR_RATING_RO_ROLLUP],0),MATCH(E$9,MMWR_RATING_RO_ROLLUP[#Headers],0))/$C36,"ERROR"))</f>
        <v>6.6601779755283655E-2</v>
      </c>
      <c r="F36" s="154">
        <f>IF($B36=" ","",IFERROR(INDEX(MMWR_RATING_RO_ROLLUP[],MATCH($B36,MMWR_RATING_RO_ROLLUP[MMWR_RATING_RO_ROLLUP],0),MATCH(F$9,MMWR_RATING_RO_ROLLUP[#Headers],0)),"ERROR"))</f>
        <v>1741</v>
      </c>
      <c r="G36" s="154">
        <f>IF($B36=" ","",IFERROR(INDEX(MMWR_RATING_RO_ROLLUP[],MATCH($B36,MMWR_RATING_RO_ROLLUP[MMWR_RATING_RO_ROLLUP],0),MATCH(G$9,MMWR_RATING_RO_ROLLUP[#Headers],0)),"ERROR"))</f>
        <v>10852</v>
      </c>
      <c r="H36" s="155">
        <f>IF($B36=" ","",IFERROR(INDEX(MMWR_RATING_RO_ROLLUP[],MATCH($B36,MMWR_RATING_RO_ROLLUP[MMWR_RATING_RO_ROLLUP],0),MATCH(H$9,MMWR_RATING_RO_ROLLUP[#Headers],0)),"ERROR"))</f>
        <v>69.379666858099995</v>
      </c>
      <c r="I36" s="155">
        <f>IF($B36=" ","",IFERROR(INDEX(MMWR_RATING_RO_ROLLUP[],MATCH($B36,MMWR_RATING_RO_ROLLUP[MMWR_RATING_RO_ROLLUP],0),MATCH(I$9,MMWR_RATING_RO_ROLLUP[#Headers],0)),"ERROR"))</f>
        <v>65.105786951699997</v>
      </c>
      <c r="J36" s="42"/>
      <c r="K36" s="42"/>
      <c r="L36" s="42"/>
      <c r="M36" s="42"/>
      <c r="N36" s="28"/>
    </row>
    <row r="37" spans="1:14" x14ac:dyDescent="0.2">
      <c r="A37" s="25"/>
      <c r="B37" s="13" t="s">
        <v>230</v>
      </c>
      <c r="C37" s="154">
        <f>IF($B37=" ","",IFERROR(INDEX(MMWR_RATING_RO_ROLLUP[],MATCH($B37,MMWR_RATING_RO_ROLLUP[MMWR_RATING_RO_ROLLUP],0),MATCH(C$9,MMWR_RATING_RO_ROLLUP[#Headers],0)),"ERROR"))</f>
        <v>602</v>
      </c>
      <c r="D37" s="155">
        <f>IF($B37=" ","",IFERROR(INDEX(MMWR_RATING_RO_ROLLUP[],MATCH($B37,MMWR_RATING_RO_ROLLUP[MMWR_RATING_RO_ROLLUP],0),MATCH(D$9,MMWR_RATING_RO_ROLLUP[#Headers],0)),"ERROR"))</f>
        <v>169.81395348839999</v>
      </c>
      <c r="E37" s="156">
        <f>IF($B37=" ","",IFERROR(INDEX(MMWR_RATING_RO_ROLLUP[],MATCH($B37,MMWR_RATING_RO_ROLLUP[MMWR_RATING_RO_ROLLUP],0),MATCH(E$9,MMWR_RATING_RO_ROLLUP[#Headers],0))/$C37,"ERROR"))</f>
        <v>0.45182724252491696</v>
      </c>
      <c r="F37" s="154">
        <f>IF($B37=" ","",IFERROR(INDEX(MMWR_RATING_RO_ROLLUP[],MATCH($B37,MMWR_RATING_RO_ROLLUP[MMWR_RATING_RO_ROLLUP],0),MATCH(F$9,MMWR_RATING_RO_ROLLUP[#Headers],0)),"ERROR"))</f>
        <v>169</v>
      </c>
      <c r="G37" s="154">
        <f>IF($B37=" ","",IFERROR(INDEX(MMWR_RATING_RO_ROLLUP[],MATCH($B37,MMWR_RATING_RO_ROLLUP[MMWR_RATING_RO_ROLLUP],0),MATCH(G$9,MMWR_RATING_RO_ROLLUP[#Headers],0)),"ERROR"))</f>
        <v>1041</v>
      </c>
      <c r="H37" s="155">
        <f>IF($B37=" ","",IFERROR(INDEX(MMWR_RATING_RO_ROLLUP[],MATCH($B37,MMWR_RATING_RO_ROLLUP[MMWR_RATING_RO_ROLLUP],0),MATCH(H$9,MMWR_RATING_RO_ROLLUP[#Headers],0)),"ERROR"))</f>
        <v>64.088757396399998</v>
      </c>
      <c r="I37" s="155">
        <f>IF($B37=" ","",IFERROR(INDEX(MMWR_RATING_RO_ROLLUP[],MATCH($B37,MMWR_RATING_RO_ROLLUP[MMWR_RATING_RO_ROLLUP],0),MATCH(I$9,MMWR_RATING_RO_ROLLUP[#Headers],0)),"ERROR"))</f>
        <v>52.980787704100003</v>
      </c>
      <c r="J37" s="42"/>
      <c r="K37" s="42"/>
      <c r="L37" s="42"/>
      <c r="M37" s="42"/>
      <c r="N37" s="28"/>
    </row>
    <row r="38" spans="1:14" x14ac:dyDescent="0.2">
      <c r="A38" s="25"/>
      <c r="B38" s="342" t="s">
        <v>923</v>
      </c>
      <c r="C38" s="343"/>
      <c r="D38" s="343"/>
      <c r="E38" s="343"/>
      <c r="F38" s="343"/>
      <c r="G38" s="343"/>
      <c r="H38" s="343"/>
      <c r="I38" s="343"/>
      <c r="J38" s="343"/>
      <c r="K38" s="343"/>
      <c r="L38" s="343"/>
      <c r="M38" s="393"/>
      <c r="N38" s="28"/>
    </row>
    <row r="39" spans="1:14" x14ac:dyDescent="0.2">
      <c r="A39" s="25"/>
      <c r="B39" s="44" t="s">
        <v>704</v>
      </c>
      <c r="C39" s="154">
        <f>IF($B39=" ","",IFERROR(INDEX(MMWR_RATING_RO_ROLLUP[],MATCH($B39,MMWR_RATING_RO_ROLLUP[MMWR_RATING_RO_ROLLUP],0),MATCH(C$9,MMWR_RATING_RO_ROLLUP[#Headers],0)),"ERROR"))</f>
        <v>10722</v>
      </c>
      <c r="D39" s="155">
        <f>IF($B39=" ","",IFERROR(INDEX(MMWR_RATING_RO_ROLLUP[],MATCH($B39,MMWR_RATING_RO_ROLLUP[MMWR_RATING_RO_ROLLUP],0),MATCH(D$9,MMWR_RATING_RO_ROLLUP[#Headers],0)),"ERROR"))</f>
        <v>80.201641484800007</v>
      </c>
      <c r="E39" s="156">
        <f>IF($B39=" ","",IFERROR(INDEX(MMWR_RATING_RO_ROLLUP[],MATCH($B39,MMWR_RATING_RO_ROLLUP[MMWR_RATING_RO_ROLLUP],0),MATCH(E$9,MMWR_RATING_RO_ROLLUP[#Headers],0))/$C39,"ERROR"))</f>
        <v>0.18392091027793322</v>
      </c>
      <c r="F39" s="154">
        <f>IF($B39=" ","",IFERROR(INDEX(MMWR_RATING_RO_ROLLUP[],MATCH($B39,MMWR_RATING_RO_ROLLUP[MMWR_RATING_RO_ROLLUP],0),MATCH(F$9,MMWR_RATING_RO_ROLLUP[#Headers],0)),"ERROR"))</f>
        <v>745</v>
      </c>
      <c r="G39" s="154">
        <f>IF($B39=" ","",IFERROR(INDEX(MMWR_RATING_RO_ROLLUP[],MATCH($B39,MMWR_RATING_RO_ROLLUP[MMWR_RATING_RO_ROLLUP],0),MATCH(G$9,MMWR_RATING_RO_ROLLUP[#Headers],0)),"ERROR"))</f>
        <v>3751</v>
      </c>
      <c r="H39" s="155">
        <f>IF($B39=" ","",IFERROR(INDEX(MMWR_RATING_RO_ROLLUP[],MATCH($B39,MMWR_RATING_RO_ROLLUP[MMWR_RATING_RO_ROLLUP],0),MATCH(H$9,MMWR_RATING_RO_ROLLUP[#Headers],0)),"ERROR"))</f>
        <v>143.43221476510001</v>
      </c>
      <c r="I39" s="155">
        <f>IF($B39=" ","",IFERROR(INDEX(MMWR_RATING_RO_ROLLUP[],MATCH($B39,MMWR_RATING_RO_ROLLUP[MMWR_RATING_RO_ROLLUP],0),MATCH(I$9,MMWR_RATING_RO_ROLLUP[#Headers],0)),"ERROR"))</f>
        <v>137.26952812580001</v>
      </c>
      <c r="J39" s="42"/>
      <c r="K39" s="42"/>
      <c r="L39" s="42"/>
      <c r="M39" s="42"/>
      <c r="N39" s="28"/>
    </row>
    <row r="40" spans="1:14" x14ac:dyDescent="0.2">
      <c r="A40" s="25"/>
      <c r="B40" s="53" t="s">
        <v>963</v>
      </c>
      <c r="C40" s="154">
        <f>IF($B40=" ","",IFERROR(INDEX(MMWR_RATING_RO_ROLLUP[],MATCH($B40,MMWR_RATING_RO_ROLLUP[MMWR_RATING_RO_ROLLUP],0),MATCH(C$9,MMWR_RATING_RO_ROLLUP[#Headers],0)),"ERROR"))</f>
        <v>1768</v>
      </c>
      <c r="D40" s="155">
        <f>IF($B40=" ","",IFERROR(INDEX(MMWR_RATING_RO_ROLLUP[],MATCH($B40,MMWR_RATING_RO_ROLLUP[MMWR_RATING_RO_ROLLUP],0),MATCH(D$9,MMWR_RATING_RO_ROLLUP[#Headers],0)),"ERROR"))</f>
        <v>78.395927601799997</v>
      </c>
      <c r="E40" s="156">
        <f>IF($B40=" ","",IFERROR(INDEX(MMWR_RATING_RO_ROLLUP[],MATCH($B40,MMWR_RATING_RO_ROLLUP[MMWR_RATING_RO_ROLLUP],0),MATCH(E$9,MMWR_RATING_RO_ROLLUP[#Headers],0))/$C40,"ERROR"))</f>
        <v>0.12669683257918551</v>
      </c>
      <c r="F40" s="154">
        <f>IF($B40=" ","",IFERROR(INDEX(MMWR_RATING_RO_ROLLUP[],MATCH($B40,MMWR_RATING_RO_ROLLUP[MMWR_RATING_RO_ROLLUP],0),MATCH(F$9,MMWR_RATING_RO_ROLLUP[#Headers],0)),"ERROR"))</f>
        <v>176</v>
      </c>
      <c r="G40" s="154">
        <f>IF($B40=" ","",IFERROR(INDEX(MMWR_RATING_RO_ROLLUP[],MATCH($B40,MMWR_RATING_RO_ROLLUP[MMWR_RATING_RO_ROLLUP],0),MATCH(G$9,MMWR_RATING_RO_ROLLUP[#Headers],0)),"ERROR"))</f>
        <v>885</v>
      </c>
      <c r="H40" s="155">
        <f>IF($B40=" ","",IFERROR(INDEX(MMWR_RATING_RO_ROLLUP[],MATCH($B40,MMWR_RATING_RO_ROLLUP[MMWR_RATING_RO_ROLLUP],0),MATCH(H$9,MMWR_RATING_RO_ROLLUP[#Headers],0)),"ERROR"))</f>
        <v>130.5625</v>
      </c>
      <c r="I40" s="155">
        <f>IF($B40=" ","",IFERROR(INDEX(MMWR_RATING_RO_ROLLUP[],MATCH($B40,MMWR_RATING_RO_ROLLUP[MMWR_RATING_RO_ROLLUP],0),MATCH(I$9,MMWR_RATING_RO_ROLLUP[#Headers],0)),"ERROR"))</f>
        <v>120.65875706209999</v>
      </c>
      <c r="J40" s="42"/>
      <c r="K40" s="42"/>
      <c r="L40" s="42"/>
      <c r="M40" s="42"/>
      <c r="N40" s="28"/>
    </row>
    <row r="41" spans="1:14" x14ac:dyDescent="0.2">
      <c r="A41" s="25"/>
      <c r="B41" s="53" t="s">
        <v>964</v>
      </c>
      <c r="C41" s="154">
        <f>IF($B41=" ","",IFERROR(INDEX(MMWR_RATING_RO_ROLLUP[],MATCH($B41,MMWR_RATING_RO_ROLLUP[MMWR_RATING_RO_ROLLUP],0),MATCH(C$9,MMWR_RATING_RO_ROLLUP[#Headers],0)),"ERROR"))</f>
        <v>1810</v>
      </c>
      <c r="D41" s="155">
        <f>IF($B41=" ","",IFERROR(INDEX(MMWR_RATING_RO_ROLLUP[],MATCH($B41,MMWR_RATING_RO_ROLLUP[MMWR_RATING_RO_ROLLUP],0),MATCH(D$9,MMWR_RATING_RO_ROLLUP[#Headers],0)),"ERROR"))</f>
        <v>84.274033149199994</v>
      </c>
      <c r="E41" s="156">
        <f>IF($B41=" ","",IFERROR(INDEX(MMWR_RATING_RO_ROLLUP[],MATCH($B41,MMWR_RATING_RO_ROLLUP[MMWR_RATING_RO_ROLLUP],0),MATCH(E$9,MMWR_RATING_RO_ROLLUP[#Headers],0))/$C41,"ERROR"))</f>
        <v>0.22541436464088399</v>
      </c>
      <c r="F41" s="154">
        <f>IF($B41=" ","",IFERROR(INDEX(MMWR_RATING_RO_ROLLUP[],MATCH($B41,MMWR_RATING_RO_ROLLUP[MMWR_RATING_RO_ROLLUP],0),MATCH(F$9,MMWR_RATING_RO_ROLLUP[#Headers],0)),"ERROR"))</f>
        <v>128</v>
      </c>
      <c r="G41" s="154">
        <f>IF($B41=" ","",IFERROR(INDEX(MMWR_RATING_RO_ROLLUP[],MATCH($B41,MMWR_RATING_RO_ROLLUP[MMWR_RATING_RO_ROLLUP],0),MATCH(G$9,MMWR_RATING_RO_ROLLUP[#Headers],0)),"ERROR"))</f>
        <v>684</v>
      </c>
      <c r="H41" s="155">
        <f>IF($B41=" ","",IFERROR(INDEX(MMWR_RATING_RO_ROLLUP[],MATCH($B41,MMWR_RATING_RO_ROLLUP[MMWR_RATING_RO_ROLLUP],0),MATCH(H$9,MMWR_RATING_RO_ROLLUP[#Headers],0)),"ERROR"))</f>
        <v>152.0859375</v>
      </c>
      <c r="I41" s="155">
        <f>IF($B41=" ","",IFERROR(INDEX(MMWR_RATING_RO_ROLLUP[],MATCH($B41,MMWR_RATING_RO_ROLLUP[MMWR_RATING_RO_ROLLUP],0),MATCH(I$9,MMWR_RATING_RO_ROLLUP[#Headers],0)),"ERROR"))</f>
        <v>150.02192982459999</v>
      </c>
      <c r="J41" s="42"/>
      <c r="K41" s="42"/>
      <c r="L41" s="42"/>
      <c r="M41" s="42"/>
      <c r="N41" s="28"/>
    </row>
    <row r="42" spans="1:14" x14ac:dyDescent="0.2">
      <c r="A42" s="25"/>
      <c r="B42" s="46" t="s">
        <v>313</v>
      </c>
      <c r="C42" s="154">
        <f>IF($B42=" ","",IFERROR(INDEX(MMWR_RATING_RO_ROLLUP[],MATCH($B42,MMWR_RATING_RO_ROLLUP[MMWR_RATING_RO_ROLLUP],0),MATCH(C$9,MMWR_RATING_RO_ROLLUP[#Headers],0)),"ERROR"))</f>
        <v>7144</v>
      </c>
      <c r="D42" s="155">
        <f>IF($B42=" ","",IFERROR(INDEX(MMWR_RATING_RO_ROLLUP[],MATCH($B42,MMWR_RATING_RO_ROLLUP[MMWR_RATING_RO_ROLLUP],0),MATCH(D$9,MMWR_RATING_RO_ROLLUP[#Headers],0)),"ERROR"))</f>
        <v>79.616741321399999</v>
      </c>
      <c r="E42" s="156">
        <f>IF($B42=" ","",IFERROR(INDEX(MMWR_RATING_RO_ROLLUP[],MATCH($B42,MMWR_RATING_RO_ROLLUP[MMWR_RATING_RO_ROLLUP],0),MATCH(E$9,MMWR_RATING_RO_ROLLUP[#Headers],0))/$C42,"ERROR"))</f>
        <v>0.18756998880179171</v>
      </c>
      <c r="F42" s="154">
        <f>IF($B42=" ","",IFERROR(INDEX(MMWR_RATING_RO_ROLLUP[],MATCH($B42,MMWR_RATING_RO_ROLLUP[MMWR_RATING_RO_ROLLUP],0),MATCH(F$9,MMWR_RATING_RO_ROLLUP[#Headers],0)),"ERROR"))</f>
        <v>441</v>
      </c>
      <c r="G42" s="154">
        <f>IF($B42=" ","",IFERROR(INDEX(MMWR_RATING_RO_ROLLUP[],MATCH($B42,MMWR_RATING_RO_ROLLUP[MMWR_RATING_RO_ROLLUP],0),MATCH(G$9,MMWR_RATING_RO_ROLLUP[#Headers],0)),"ERROR"))</f>
        <v>2182</v>
      </c>
      <c r="H42" s="155">
        <f>IF($B42=" ","",IFERROR(INDEX(MMWR_RATING_RO_ROLLUP[],MATCH($B42,MMWR_RATING_RO_ROLLUP[MMWR_RATING_RO_ROLLUP],0),MATCH(H$9,MMWR_RATING_RO_ROLLUP[#Headers],0)),"ERROR"))</f>
        <v>146.05668934240001</v>
      </c>
      <c r="I42" s="155">
        <f>IF($B42=" ","",IFERROR(INDEX(MMWR_RATING_RO_ROLLUP[],MATCH($B42,MMWR_RATING_RO_ROLLUP[MMWR_RATING_RO_ROLLUP],0),MATCH(I$9,MMWR_RATING_RO_ROLLUP[#Headers],0)),"ERROR"))</f>
        <v>140.00916590279999</v>
      </c>
      <c r="J42" s="42"/>
      <c r="K42" s="42"/>
      <c r="L42" s="42"/>
      <c r="M42" s="42"/>
      <c r="N42" s="28"/>
    </row>
    <row r="43" spans="1:14" x14ac:dyDescent="0.2">
      <c r="A43" s="25"/>
      <c r="B43" s="342" t="s">
        <v>741</v>
      </c>
      <c r="C43" s="343"/>
      <c r="D43" s="343"/>
      <c r="E43" s="343"/>
      <c r="F43" s="343"/>
      <c r="G43" s="343"/>
      <c r="H43" s="343"/>
      <c r="I43" s="343"/>
      <c r="J43" s="343"/>
      <c r="K43" s="343"/>
      <c r="L43" s="343"/>
      <c r="M43" s="393"/>
      <c r="N43" s="28"/>
    </row>
    <row r="44" spans="1:14" x14ac:dyDescent="0.2">
      <c r="A44" s="25"/>
      <c r="B44" s="44" t="s">
        <v>702</v>
      </c>
      <c r="C44" s="154">
        <f>IF($B44=" ","",IFERROR(INDEX(MMWR_RATING_RO_ROLLUP[],MATCH($B44,MMWR_RATING_RO_ROLLUP[MMWR_RATING_RO_ROLLUP],0),MATCH(C$9,MMWR_RATING_RO_ROLLUP[#Headers],0)),"ERROR"))</f>
        <v>11913</v>
      </c>
      <c r="D44" s="155">
        <f>IF($B44=" ","",IFERROR(INDEX(MMWR_RATING_RO_ROLLUP[],MATCH($B44,MMWR_RATING_RO_ROLLUP[MMWR_RATING_RO_ROLLUP],0),MATCH(D$9,MMWR_RATING_RO_ROLLUP[#Headers],0)),"ERROR"))</f>
        <v>80.065642575300004</v>
      </c>
      <c r="E44" s="156">
        <f>IF($B44=" ","",IFERROR(INDEX(MMWR_RATING_RO_ROLLUP[],MATCH($B44,MMWR_RATING_RO_ROLLUP[MMWR_RATING_RO_ROLLUP],0),MATCH(E$9,MMWR_RATING_RO_ROLLUP[#Headers],0))/$C44,"ERROR"))</f>
        <v>0.19634013262822128</v>
      </c>
      <c r="F44" s="154">
        <f>IF($B44=" ","",IFERROR(INDEX(MMWR_RATING_RO_ROLLUP[],MATCH($B44,MMWR_RATING_RO_ROLLUP[MMWR_RATING_RO_ROLLUP],0),MATCH(F$9,MMWR_RATING_RO_ROLLUP[#Headers],0)),"ERROR"))</f>
        <v>840</v>
      </c>
      <c r="G44" s="154">
        <f>IF($B44=" ","",IFERROR(INDEX(MMWR_RATING_RO_ROLLUP[],MATCH($B44,MMWR_RATING_RO_ROLLUP[MMWR_RATING_RO_ROLLUP],0),MATCH(G$9,MMWR_RATING_RO_ROLLUP[#Headers],0)),"ERROR"))</f>
        <v>4421</v>
      </c>
      <c r="H44" s="155">
        <f>IF($B44=" ","",IFERROR(INDEX(MMWR_RATING_RO_ROLLUP[],MATCH($B44,MMWR_RATING_RO_ROLLUP[MMWR_RATING_RO_ROLLUP],0),MATCH(H$9,MMWR_RATING_RO_ROLLUP[#Headers],0)),"ERROR"))</f>
        <v>136.74166666670001</v>
      </c>
      <c r="I44" s="155">
        <f>IF($B44=" ","",IFERROR(INDEX(MMWR_RATING_RO_ROLLUP[],MATCH($B44,MMWR_RATING_RO_ROLLUP[MMWR_RATING_RO_ROLLUP],0),MATCH(I$9,MMWR_RATING_RO_ROLLUP[#Headers],0)),"ERROR"))</f>
        <v>130.7787830808</v>
      </c>
      <c r="J44" s="42"/>
      <c r="K44" s="42"/>
      <c r="L44" s="42"/>
      <c r="M44" s="42"/>
      <c r="N44" s="28"/>
    </row>
    <row r="45" spans="1:14" x14ac:dyDescent="0.2">
      <c r="A45" s="25"/>
      <c r="B45" s="45" t="s">
        <v>217</v>
      </c>
      <c r="C45" s="154">
        <f>IF($B45=" ","",IFERROR(INDEX(MMWR_RATING_RO_ROLLUP[],MATCH($B45,MMWR_RATING_RO_ROLLUP[MMWR_RATING_RO_ROLLUP],0),MATCH(C$9,MMWR_RATING_RO_ROLLUP[#Headers],0)),"ERROR"))</f>
        <v>64</v>
      </c>
      <c r="D45" s="155">
        <f>IF($B45=" ","",IFERROR(INDEX(MMWR_RATING_RO_ROLLUP[],MATCH($B45,MMWR_RATING_RO_ROLLUP[MMWR_RATING_RO_ROLLUP],0),MATCH(D$9,MMWR_RATING_RO_ROLLUP[#Headers],0)),"ERROR"))</f>
        <v>81.453125</v>
      </c>
      <c r="E45" s="156">
        <f>IF($B45=" ","",IFERROR(INDEX(MMWR_RATING_RO_ROLLUP[],MATCH($B45,MMWR_RATING_RO_ROLLUP[MMWR_RATING_RO_ROLLUP],0),MATCH(E$9,MMWR_RATING_RO_ROLLUP[#Headers],0))/$C45,"ERROR"))</f>
        <v>9.375E-2</v>
      </c>
      <c r="F45" s="154">
        <f>IF($B45=" ","",IFERROR(INDEX(MMWR_RATING_RO_ROLLUP[],MATCH($B45,MMWR_RATING_RO_ROLLUP[MMWR_RATING_RO_ROLLUP],0),MATCH(F$9,MMWR_RATING_RO_ROLLUP[#Headers],0)),"ERROR"))</f>
        <v>7</v>
      </c>
      <c r="G45" s="154">
        <f>IF($B45=" ","",IFERROR(INDEX(MMWR_RATING_RO_ROLLUP[],MATCH($B45,MMWR_RATING_RO_ROLLUP[MMWR_RATING_RO_ROLLUP],0),MATCH(G$9,MMWR_RATING_RO_ROLLUP[#Headers],0)),"ERROR"))</f>
        <v>36</v>
      </c>
      <c r="H45" s="155">
        <f>IF($B45=" ","",IFERROR(INDEX(MMWR_RATING_RO_ROLLUP[],MATCH($B45,MMWR_RATING_RO_ROLLUP[MMWR_RATING_RO_ROLLUP],0),MATCH(H$9,MMWR_RATING_RO_ROLLUP[#Headers],0)),"ERROR"))</f>
        <v>152</v>
      </c>
      <c r="I45" s="155">
        <f>IF($B45=" ","",IFERROR(INDEX(MMWR_RATING_RO_ROLLUP[],MATCH($B45,MMWR_RATING_RO_ROLLUP[MMWR_RATING_RO_ROLLUP],0),MATCH(I$9,MMWR_RATING_RO_ROLLUP[#Headers],0)),"ERROR"))</f>
        <v>152.25</v>
      </c>
      <c r="J45" s="42"/>
      <c r="K45" s="42"/>
      <c r="L45" s="42"/>
      <c r="M45" s="42"/>
      <c r="N45" s="28"/>
    </row>
    <row r="46" spans="1:14" x14ac:dyDescent="0.2">
      <c r="A46" s="25"/>
      <c r="B46" s="45" t="s">
        <v>219</v>
      </c>
      <c r="C46" s="154">
        <f>IF($B46=" ","",IFERROR(INDEX(MMWR_RATING_RO_ROLLUP[],MATCH($B46,MMWR_RATING_RO_ROLLUP[MMWR_RATING_RO_ROLLUP],0),MATCH(C$9,MMWR_RATING_RO_ROLLUP[#Headers],0)),"ERROR"))</f>
        <v>1958</v>
      </c>
      <c r="D46" s="155">
        <f>IF($B46=" ","",IFERROR(INDEX(MMWR_RATING_RO_ROLLUP[],MATCH($B46,MMWR_RATING_RO_ROLLUP[MMWR_RATING_RO_ROLLUP],0),MATCH(D$9,MMWR_RATING_RO_ROLLUP[#Headers],0)),"ERROR"))</f>
        <v>88.096016343200006</v>
      </c>
      <c r="E46" s="156">
        <f>IF($B46=" ","",IFERROR(INDEX(MMWR_RATING_RO_ROLLUP[],MATCH($B46,MMWR_RATING_RO_ROLLUP[MMWR_RATING_RO_ROLLUP],0),MATCH(E$9,MMWR_RATING_RO_ROLLUP[#Headers],0))/$C46,"ERROR"))</f>
        <v>0.2640449438202247</v>
      </c>
      <c r="F46" s="154">
        <f>IF($B46=" ","",IFERROR(INDEX(MMWR_RATING_RO_ROLLUP[],MATCH($B46,MMWR_RATING_RO_ROLLUP[MMWR_RATING_RO_ROLLUP],0),MATCH(F$9,MMWR_RATING_RO_ROLLUP[#Headers],0)),"ERROR"))</f>
        <v>135</v>
      </c>
      <c r="G46" s="154">
        <f>IF($B46=" ","",IFERROR(INDEX(MMWR_RATING_RO_ROLLUP[],MATCH($B46,MMWR_RATING_RO_ROLLUP[MMWR_RATING_RO_ROLLUP],0),MATCH(G$9,MMWR_RATING_RO_ROLLUP[#Headers],0)),"ERROR"))</f>
        <v>826</v>
      </c>
      <c r="H46" s="155">
        <f>IF($B46=" ","",IFERROR(INDEX(MMWR_RATING_RO_ROLLUP[],MATCH($B46,MMWR_RATING_RO_ROLLUP[MMWR_RATING_RO_ROLLUP],0),MATCH(H$9,MMWR_RATING_RO_ROLLUP[#Headers],0)),"ERROR"))</f>
        <v>136.8148148148</v>
      </c>
      <c r="I46" s="155">
        <f>IF($B46=" ","",IFERROR(INDEX(MMWR_RATING_RO_ROLLUP[],MATCH($B46,MMWR_RATING_RO_ROLLUP[MMWR_RATING_RO_ROLLUP],0),MATCH(I$9,MMWR_RATING_RO_ROLLUP[#Headers],0)),"ERROR"))</f>
        <v>140.84140435840001</v>
      </c>
      <c r="J46" s="42"/>
      <c r="K46" s="42"/>
      <c r="L46" s="42"/>
      <c r="M46" s="42"/>
      <c r="N46" s="28"/>
    </row>
    <row r="47" spans="1:14" x14ac:dyDescent="0.2">
      <c r="A47" s="25"/>
      <c r="B47" s="47" t="s">
        <v>314</v>
      </c>
      <c r="C47" s="154">
        <f>IF($B47=" ","",IFERROR(INDEX(MMWR_RATING_RO_ROLLUP[],MATCH($B47,MMWR_RATING_RO_ROLLUP[MMWR_RATING_RO_ROLLUP],0),MATCH(C$9,MMWR_RATING_RO_ROLLUP[#Headers],0)),"ERROR"))</f>
        <v>9891</v>
      </c>
      <c r="D47" s="155">
        <f>IF($B47=" ","",IFERROR(INDEX(MMWR_RATING_RO_ROLLUP[],MATCH($B47,MMWR_RATING_RO_ROLLUP[MMWR_RATING_RO_ROLLUP],0),MATCH(D$9,MMWR_RATING_RO_ROLLUP[#Headers],0)),"ERROR"))</f>
        <v>78.466990193100003</v>
      </c>
      <c r="E47" s="156">
        <f>IF($B47=" ","",IFERROR(INDEX(MMWR_RATING_RO_ROLLUP[],MATCH($B47,MMWR_RATING_RO_ROLLUP[MMWR_RATING_RO_ROLLUP],0),MATCH(E$9,MMWR_RATING_RO_ROLLUP[#Headers],0))/$C47,"ERROR"))</f>
        <v>0.18360125366494792</v>
      </c>
      <c r="F47" s="154">
        <f>IF($B47=" ","",IFERROR(INDEX(MMWR_RATING_RO_ROLLUP[],MATCH($B47,MMWR_RATING_RO_ROLLUP[MMWR_RATING_RO_ROLLUP],0),MATCH(F$9,MMWR_RATING_RO_ROLLUP[#Headers],0)),"ERROR"))</f>
        <v>698</v>
      </c>
      <c r="G47" s="154">
        <f>IF($B47=" ","",IFERROR(INDEX(MMWR_RATING_RO_ROLLUP[],MATCH($B47,MMWR_RATING_RO_ROLLUP[MMWR_RATING_RO_ROLLUP],0),MATCH(G$9,MMWR_RATING_RO_ROLLUP[#Headers],0)),"ERROR"))</f>
        <v>3559</v>
      </c>
      <c r="H47" s="155">
        <f>IF($B47=" ","",IFERROR(INDEX(MMWR_RATING_RO_ROLLUP[],MATCH($B47,MMWR_RATING_RO_ROLLUP[MMWR_RATING_RO_ROLLUP],0),MATCH(H$9,MMWR_RATING_RO_ROLLUP[#Headers],0)),"ERROR"))</f>
        <v>136.5744985673</v>
      </c>
      <c r="I47" s="155">
        <f>IF($B47=" ","",IFERROR(INDEX(MMWR_RATING_RO_ROLLUP[],MATCH($B47,MMWR_RATING_RO_ROLLUP[MMWR_RATING_RO_ROLLUP],0),MATCH(I$9,MMWR_RATING_RO_ROLLUP[#Headers],0)),"ERROR"))</f>
        <v>128.22618713119999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6" t="s">
        <v>985</v>
      </c>
      <c r="D2" s="357"/>
      <c r="E2" s="357"/>
      <c r="F2" s="357"/>
      <c r="G2" s="357"/>
      <c r="H2" s="357"/>
      <c r="I2" s="357"/>
      <c r="J2" s="356" t="s">
        <v>306</v>
      </c>
      <c r="K2" s="357"/>
      <c r="L2" s="357"/>
      <c r="M2" s="358"/>
      <c r="N2" s="28"/>
    </row>
    <row r="3" spans="1:15" ht="24" customHeight="1" thickBot="1" x14ac:dyDescent="0.4">
      <c r="A3" s="25"/>
      <c r="B3" s="29"/>
      <c r="C3" s="359"/>
      <c r="D3" s="360"/>
      <c r="E3" s="360"/>
      <c r="F3" s="360"/>
      <c r="G3" s="360"/>
      <c r="H3" s="360"/>
      <c r="I3" s="360"/>
      <c r="J3" s="359" t="str">
        <f>Transformation!B4</f>
        <v>As of: December 12, 2015</v>
      </c>
      <c r="K3" s="360"/>
      <c r="L3" s="360"/>
      <c r="M3" s="361"/>
      <c r="N3" s="28"/>
    </row>
    <row r="4" spans="1:15" ht="51.75" customHeight="1" thickBot="1" x14ac:dyDescent="0.35">
      <c r="A4" s="30"/>
      <c r="B4" s="247" t="s">
        <v>462</v>
      </c>
      <c r="C4" s="362" t="s">
        <v>438</v>
      </c>
      <c r="D4" s="363"/>
      <c r="E4" s="363"/>
      <c r="F4" s="363"/>
      <c r="G4" s="363"/>
      <c r="H4" s="363"/>
      <c r="I4" s="363"/>
      <c r="J4" s="363"/>
      <c r="K4" s="363"/>
      <c r="L4" s="363"/>
      <c r="M4" s="364"/>
      <c r="N4" s="28"/>
    </row>
    <row r="5" spans="1:15" ht="27" customHeight="1" thickBot="1" x14ac:dyDescent="0.25">
      <c r="A5" s="30"/>
      <c r="B5" s="246" t="s">
        <v>376</v>
      </c>
      <c r="C5" s="365" t="s">
        <v>1049</v>
      </c>
      <c r="D5" s="366"/>
      <c r="E5" s="366"/>
      <c r="F5" s="366"/>
      <c r="G5" s="366"/>
      <c r="H5" s="366"/>
      <c r="I5" s="366"/>
      <c r="J5" s="366"/>
      <c r="K5" s="366"/>
      <c r="L5" s="366"/>
      <c r="M5" s="366"/>
      <c r="N5" s="366"/>
      <c r="O5" s="367"/>
    </row>
    <row r="6" spans="1:15" ht="55.5" customHeight="1" x14ac:dyDescent="0.2">
      <c r="A6" s="30"/>
      <c r="B6" s="31"/>
      <c r="C6" s="32" t="s">
        <v>196</v>
      </c>
      <c r="D6" s="368" t="s">
        <v>16</v>
      </c>
      <c r="E6" s="369"/>
      <c r="F6" s="33" t="s">
        <v>199</v>
      </c>
      <c r="G6" s="368" t="s">
        <v>204</v>
      </c>
      <c r="H6" s="370"/>
      <c r="I6" s="33" t="s">
        <v>202</v>
      </c>
      <c r="J6" s="49" t="s">
        <v>14</v>
      </c>
      <c r="K6" s="33" t="s">
        <v>207</v>
      </c>
      <c r="L6" s="374" t="s">
        <v>88</v>
      </c>
      <c r="M6" s="387"/>
      <c r="N6" s="28"/>
    </row>
    <row r="7" spans="1:15" ht="51.75" customHeight="1" x14ac:dyDescent="0.2">
      <c r="A7" s="30"/>
      <c r="B7" s="34"/>
      <c r="C7" s="35" t="s">
        <v>197</v>
      </c>
      <c r="D7" s="344" t="s">
        <v>0</v>
      </c>
      <c r="E7" s="345"/>
      <c r="F7" s="36" t="s">
        <v>200</v>
      </c>
      <c r="G7" s="346" t="s">
        <v>205</v>
      </c>
      <c r="H7" s="346"/>
      <c r="I7" s="36" t="s">
        <v>203</v>
      </c>
      <c r="J7" s="50" t="s">
        <v>19</v>
      </c>
      <c r="K7" s="36" t="s">
        <v>208</v>
      </c>
      <c r="L7" s="388" t="s">
        <v>90</v>
      </c>
      <c r="M7" s="389"/>
      <c r="N7" s="28"/>
    </row>
    <row r="8" spans="1:15" ht="51.75" customHeight="1" thickBot="1" x14ac:dyDescent="0.25">
      <c r="A8" s="25"/>
      <c r="B8" s="28"/>
      <c r="C8" s="37" t="s">
        <v>198</v>
      </c>
      <c r="D8" s="347" t="s">
        <v>18</v>
      </c>
      <c r="E8" s="348"/>
      <c r="F8" s="38" t="s">
        <v>201</v>
      </c>
      <c r="G8" s="349" t="s">
        <v>17</v>
      </c>
      <c r="H8" s="349"/>
      <c r="I8" s="38" t="s">
        <v>206</v>
      </c>
      <c r="J8" s="51" t="s">
        <v>87</v>
      </c>
      <c r="K8" s="38" t="s">
        <v>209</v>
      </c>
      <c r="L8" s="390" t="s">
        <v>89</v>
      </c>
      <c r="M8" s="391"/>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50" t="s">
        <v>299</v>
      </c>
      <c r="D10" s="350"/>
      <c r="E10" s="350"/>
      <c r="F10" s="350"/>
      <c r="G10" s="350"/>
      <c r="H10" s="350"/>
      <c r="I10" s="350"/>
      <c r="J10" s="350"/>
      <c r="K10" s="350"/>
      <c r="L10" s="350"/>
      <c r="M10" s="392"/>
      <c r="N10" s="28"/>
    </row>
    <row r="11" spans="1:15" ht="63.75" customHeight="1" x14ac:dyDescent="0.2">
      <c r="A11" s="25"/>
      <c r="B11" s="26"/>
      <c r="C11" s="52" t="s">
        <v>232</v>
      </c>
      <c r="D11" s="52" t="s">
        <v>140</v>
      </c>
      <c r="E11" s="52" t="s">
        <v>233</v>
      </c>
      <c r="F11" s="52" t="s">
        <v>195</v>
      </c>
      <c r="G11" s="52" t="s">
        <v>210</v>
      </c>
      <c r="H11" s="52" t="s">
        <v>212</v>
      </c>
      <c r="I11" s="52" t="s">
        <v>213</v>
      </c>
      <c r="J11" s="394" t="s">
        <v>979</v>
      </c>
      <c r="K11" s="395"/>
      <c r="L11" s="395"/>
      <c r="M11" s="396"/>
      <c r="N11" s="28"/>
    </row>
    <row r="12" spans="1:15" x14ac:dyDescent="0.2">
      <c r="A12" s="25"/>
      <c r="B12" s="41" t="s">
        <v>736</v>
      </c>
      <c r="C12" s="154">
        <f>IF($B12=" ","",IFERROR(INDEX(MMWR_RATING_STATE_ROLLUP_VSC[],MATCH($B12,MMWR_RATING_STATE_ROLLUP_VSC[MMWR_RATING_STATE_ROLLUP_VSC],0),MATCH(C$9,MMWR_RATING_STATE_ROLLUP_VSC[#Headers],0)),"ERROR"))</f>
        <v>366684</v>
      </c>
      <c r="D12" s="155">
        <f>IF($B12=" ","",IFERROR(INDEX(MMWR_RATING_STATE_ROLLUP_VSC[],MATCH($B12,MMWR_RATING_STATE_ROLLUP_VSC[MMWR_RATING_STATE_ROLLUP_VSC],0),MATCH(D$9,MMWR_RATING_STATE_ROLLUP_VSC[#Headers],0)),"ERROR"))</f>
        <v>90.240444088100006</v>
      </c>
      <c r="E12" s="158">
        <f>IF($B12=" ","",IFERROR(INDEX(MMWR_RATING_STATE_ROLLUP_VSC[],MATCH($B12,MMWR_RATING_STATE_ROLLUP_VSC[MMWR_RATING_STATE_ROLLUP_VSC],0),MATCH(E$9,MMWR_RATING_STATE_ROLLUP_VSC[#Headers],0))/$C12,"ERROR"))</f>
        <v>0.20725202081356153</v>
      </c>
      <c r="F12" s="154">
        <f>IF($B12=" ","",IFERROR(INDEX(MMWR_RATING_STATE_ROLLUP_VSC[],MATCH($B12,MMWR_RATING_STATE_ROLLUP_VSC[MMWR_RATING_STATE_ROLLUP_VSC],0),MATCH(F$9,MMWR_RATING_STATE_ROLLUP_VSC[#Headers],0)),"ERROR"))</f>
        <v>43689</v>
      </c>
      <c r="G12" s="154">
        <f>IF($B12=" ","",IFERROR(INDEX(MMWR_RATING_STATE_ROLLUP_VSC[],MATCH($B12,MMWR_RATING_STATE_ROLLUP_VSC[MMWR_RATING_STATE_ROLLUP_VSC],0),MATCH(G$9,MMWR_RATING_STATE_ROLLUP_VSC[#Headers],0)),"ERROR"))</f>
        <v>247328</v>
      </c>
      <c r="H12" s="155">
        <f>IF($B12=" ","",IFERROR(INDEX(MMWR_RATING_STATE_ROLLUP_VSC[],MATCH($B12,MMWR_RATING_STATE_ROLLUP_VSC[MMWR_RATING_STATE_ROLLUP_VSC],0),MATCH(H$9,MMWR_RATING_STATE_ROLLUP_VSC[#Headers],0)),"ERROR"))</f>
        <v>129.19245118910001</v>
      </c>
      <c r="I12" s="155">
        <f>IF($B12=" ","",IFERROR(INDEX(MMWR_RATING_STATE_ROLLUP_VSC[],MATCH($B12,MMWR_RATING_STATE_ROLLUP_VSC[MMWR_RATING_STATE_ROLLUP_VSC],0),MATCH(I$9,MMWR_RATING_STATE_ROLLUP_VSC[#Headers],0)),"ERROR"))</f>
        <v>128.361709956</v>
      </c>
      <c r="J12" s="42"/>
      <c r="K12" s="42"/>
      <c r="L12" s="42"/>
      <c r="M12" s="42"/>
      <c r="N12" s="28"/>
    </row>
    <row r="13" spans="1:15" x14ac:dyDescent="0.2">
      <c r="A13" s="25"/>
      <c r="B13" s="342" t="s">
        <v>965</v>
      </c>
      <c r="C13" s="343"/>
      <c r="D13" s="343"/>
      <c r="E13" s="343"/>
      <c r="F13" s="343"/>
      <c r="G13" s="343"/>
      <c r="H13" s="343"/>
      <c r="I13" s="343"/>
      <c r="J13" s="343"/>
      <c r="K13" s="343"/>
      <c r="L13" s="343"/>
      <c r="M13" s="393"/>
      <c r="N13" s="28"/>
    </row>
    <row r="14" spans="1:15" x14ac:dyDescent="0.2">
      <c r="A14" s="25"/>
      <c r="B14" s="41" t="s">
        <v>1043</v>
      </c>
      <c r="C14" s="154">
        <f>IF($B14=" ","",IFERROR(INDEX(MMWR_RATING_STATE_ROLLUP_VSC[],MATCH($B14,MMWR_RATING_STATE_ROLLUP_VSC[MMWR_RATING_STATE_ROLLUP_VSC],0),MATCH(C$9,MMWR_RATING_STATE_ROLLUP_VSC[#Headers],0)),"ERROR"))</f>
        <v>317877</v>
      </c>
      <c r="D14" s="155">
        <f>IF($B14=" ","",IFERROR(INDEX(MMWR_RATING_STATE_ROLLUP_VSC[],MATCH($B14,MMWR_RATING_STATE_ROLLUP_VSC[MMWR_RATING_STATE_ROLLUP_VSC],0),MATCH(D$9,MMWR_RATING_STATE_ROLLUP_VSC[#Headers],0)),"ERROR"))</f>
        <v>93.061268981400005</v>
      </c>
      <c r="E14" s="156">
        <f>IF($B14=" ","",IFERROR(INDEX(MMWR_RATING_STATE_ROLLUP_VSC[],MATCH($B14,MMWR_RATING_STATE_ROLLUP_VSC[MMWR_RATING_STATE_ROLLUP_VSC],0),MATCH(E$9,MMWR_RATING_STATE_ROLLUP_VSC[#Headers],0))/$C14,"ERROR"))</f>
        <v>0.21838321111624936</v>
      </c>
      <c r="F14" s="154">
        <f>IF($B14=" ","",IFERROR(INDEX(MMWR_RATING_STATE_ROLLUP_VSC[],MATCH($B14,MMWR_RATING_STATE_ROLLUP_VSC[MMWR_RATING_STATE_ROLLUP_VSC],0),MATCH(F$9,MMWR_RATING_STATE_ROLLUP_VSC[#Headers],0)),"ERROR"))</f>
        <v>37034</v>
      </c>
      <c r="G14" s="154">
        <f>IF($B14=" ","",IFERROR(INDEX(MMWR_RATING_STATE_ROLLUP_VSC[],MATCH($B14,MMWR_RATING_STATE_ROLLUP_VSC[MMWR_RATING_STATE_ROLLUP_VSC],0),MATCH(G$9,MMWR_RATING_STATE_ROLLUP_VSC[#Headers],0)),"ERROR"))</f>
        <v>210534</v>
      </c>
      <c r="H14" s="155">
        <f>IF($B14=" ","",IFERROR(INDEX(MMWR_RATING_STATE_ROLLUP_VSC[],MATCH($B14,MMWR_RATING_STATE_ROLLUP_VSC[MMWR_RATING_STATE_ROLLUP_VSC],0),MATCH(H$9,MMWR_RATING_STATE_ROLLUP_VSC[#Headers],0)),"ERROR"))</f>
        <v>135.98258357189999</v>
      </c>
      <c r="I14" s="155">
        <f>IF($B14=" ","",IFERROR(INDEX(MMWR_RATING_STATE_ROLLUP_VSC[],MATCH($B14,MMWR_RATING_STATE_ROLLUP_VSC[MMWR_RATING_STATE_ROLLUP_VSC],0),MATCH(I$9,MMWR_RATING_STATE_ROLLUP_VSC[#Headers],0)),"ERROR"))</f>
        <v>135.9917020529</v>
      </c>
      <c r="J14" s="42"/>
      <c r="K14" s="42"/>
      <c r="L14" s="42"/>
      <c r="M14" s="42"/>
      <c r="N14" s="28"/>
    </row>
    <row r="15" spans="1:15" x14ac:dyDescent="0.2">
      <c r="A15" s="25"/>
      <c r="B15" s="249" t="str">
        <f>INDEX(DISTRICT_STATES[],MATCH($B$5,DISTRICT_RO[District],0),1)</f>
        <v>North Atlantic</v>
      </c>
      <c r="C15" s="154">
        <f>IF($B15=" ","",IFERROR(INDEX(MMWR_RATING_STATE_ROLLUP_VSC[],MATCH($B15,MMWR_RATING_STATE_ROLLUP_VSC[MMWR_RATING_STATE_ROLLUP_VSC],0),MATCH(C$9,MMWR_RATING_STATE_ROLLUP_VSC[#Headers],0)),"ERROR"))</f>
        <v>68133</v>
      </c>
      <c r="D15" s="155">
        <f>IF($B15=" ","",IFERROR(INDEX(MMWR_RATING_STATE_ROLLUP_VSC[],MATCH($B15,MMWR_RATING_STATE_ROLLUP_VSC[MMWR_RATING_STATE_ROLLUP_VSC],0),MATCH(D$9,MMWR_RATING_STATE_ROLLUP_VSC[#Headers],0)),"ERROR"))</f>
        <v>95.081135426299994</v>
      </c>
      <c r="E15" s="156">
        <f>IF($B15=" ","",IFERROR(INDEX(MMWR_RATING_STATE_ROLLUP_VSC[],MATCH($B15,MMWR_RATING_STATE_ROLLUP_VSC[MMWR_RATING_STATE_ROLLUP_VSC],0),MATCH(E$9,MMWR_RATING_STATE_ROLLUP_VSC[#Headers],0))/$C15,"ERROR"))</f>
        <v>0.22655688139374458</v>
      </c>
      <c r="F15" s="154">
        <f>IF($B15=" ","",IFERROR(INDEX(MMWR_RATING_STATE_ROLLUP_VSC[],MATCH($B15,MMWR_RATING_STATE_ROLLUP_VSC[MMWR_RATING_STATE_ROLLUP_VSC],0),MATCH(F$9,MMWR_RATING_STATE_ROLLUP_VSC[#Headers],0)),"ERROR"))</f>
        <v>7779</v>
      </c>
      <c r="G15" s="154">
        <f>IF($B15=" ","",IFERROR(INDEX(MMWR_RATING_STATE_ROLLUP_VSC[],MATCH($B15,MMWR_RATING_STATE_ROLLUP_VSC[MMWR_RATING_STATE_ROLLUP_VSC],0),MATCH(G$9,MMWR_RATING_STATE_ROLLUP_VSC[#Headers],0)),"ERROR"))</f>
        <v>44384</v>
      </c>
      <c r="H15" s="155">
        <f>IF($B15=" ","",IFERROR(INDEX(MMWR_RATING_STATE_ROLLUP_VSC[],MATCH($B15,MMWR_RATING_STATE_ROLLUP_VSC[MMWR_RATING_STATE_ROLLUP_VSC],0),MATCH(H$9,MMWR_RATING_STATE_ROLLUP_VSC[#Headers],0)),"ERROR"))</f>
        <v>137.05540557910001</v>
      </c>
      <c r="I15" s="155">
        <f>IF($B15=" ","",IFERROR(INDEX(MMWR_RATING_STATE_ROLLUP_VSC[],MATCH($B15,MMWR_RATING_STATE_ROLLUP_VSC[MMWR_RATING_STATE_ROLLUP_VSC],0),MATCH(I$9,MMWR_RATING_STATE_ROLLUP_VSC[#Headers],0)),"ERROR"))</f>
        <v>137.90800739010001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1946</v>
      </c>
      <c r="D16" s="155">
        <f>IF($B16=" ","",IFERROR(INDEX(MMWR_RATING_STATE_ROLLUP_VSC[],MATCH($B16,MMWR_RATING_STATE_ROLLUP_VSC[MMWR_RATING_STATE_ROLLUP_VSC],0),MATCH(D$9,MMWR_RATING_STATE_ROLLUP_VSC[#Headers],0)),"ERROR"))</f>
        <v>82.040596094600005</v>
      </c>
      <c r="E16" s="156">
        <f>IF($B16=" ","",IFERROR(INDEX(MMWR_RATING_STATE_ROLLUP_VSC[],MATCH($B16,MMWR_RATING_STATE_ROLLUP_VSC[MMWR_RATING_STATE_ROLLUP_VSC],0),MATCH(E$9,MMWR_RATING_STATE_ROLLUP_VSC[#Headers],0))/$C16,"ERROR"))</f>
        <v>0.16906474820143885</v>
      </c>
      <c r="F16" s="154">
        <f>IF($B16=" ","",IFERROR(INDEX(MMWR_RATING_STATE_ROLLUP_VSC[],MATCH($B16,MMWR_RATING_STATE_ROLLUP_VSC[MMWR_RATING_STATE_ROLLUP_VSC],0),MATCH(F$9,MMWR_RATING_STATE_ROLLUP_VSC[#Headers],0)),"ERROR"))</f>
        <v>154</v>
      </c>
      <c r="G16" s="154">
        <f>IF($B16=" ","",IFERROR(INDEX(MMWR_RATING_STATE_ROLLUP_VSC[],MATCH($B16,MMWR_RATING_STATE_ROLLUP_VSC[MMWR_RATING_STATE_ROLLUP_VSC],0),MATCH(G$9,MMWR_RATING_STATE_ROLLUP_VSC[#Headers],0)),"ERROR"))</f>
        <v>1283</v>
      </c>
      <c r="H16" s="155">
        <f>IF($B16=" ","",IFERROR(INDEX(MMWR_RATING_STATE_ROLLUP_VSC[],MATCH($B16,MMWR_RATING_STATE_ROLLUP_VSC[MMWR_RATING_STATE_ROLLUP_VSC],0),MATCH(H$9,MMWR_RATING_STATE_ROLLUP_VSC[#Headers],0)),"ERROR"))</f>
        <v>112.7272727273</v>
      </c>
      <c r="I16" s="155">
        <f>IF($B16=" ","",IFERROR(INDEX(MMWR_RATING_STATE_ROLLUP_VSC[],MATCH($B16,MMWR_RATING_STATE_ROLLUP_VSC[MMWR_RATING_STATE_ROLLUP_VSC],0),MATCH(I$9,MMWR_RATING_STATE_ROLLUP_VSC[#Headers],0)),"ERROR"))</f>
        <v>109.5845674201</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864</v>
      </c>
      <c r="D17" s="155">
        <f>IF($B17=" ","",IFERROR(INDEX(MMWR_RATING_STATE_ROLLUP_VSC[],MATCH($B17,MMWR_RATING_STATE_ROLLUP_VSC[MMWR_RATING_STATE_ROLLUP_VSC],0),MATCH(D$9,MMWR_RATING_STATE_ROLLUP_VSC[#Headers],0)),"ERROR"))</f>
        <v>107.005787037</v>
      </c>
      <c r="E17" s="156">
        <f>IF($B17=" ","",IFERROR(INDEX(MMWR_RATING_STATE_ROLLUP_VSC[],MATCH($B17,MMWR_RATING_STATE_ROLLUP_VSC[MMWR_RATING_STATE_ROLLUP_VSC],0),MATCH(E$9,MMWR_RATING_STATE_ROLLUP_VSC[#Headers],0))/$C17,"ERROR"))</f>
        <v>0.29166666666666669</v>
      </c>
      <c r="F17" s="154">
        <f>IF($B17=" ","",IFERROR(INDEX(MMWR_RATING_STATE_ROLLUP_VSC[],MATCH($B17,MMWR_RATING_STATE_ROLLUP_VSC[MMWR_RATING_STATE_ROLLUP_VSC],0),MATCH(F$9,MMWR_RATING_STATE_ROLLUP_VSC[#Headers],0)),"ERROR"))</f>
        <v>80</v>
      </c>
      <c r="G17" s="154">
        <f>IF($B17=" ","",IFERROR(INDEX(MMWR_RATING_STATE_ROLLUP_VSC[],MATCH($B17,MMWR_RATING_STATE_ROLLUP_VSC[MMWR_RATING_STATE_ROLLUP_VSC],0),MATCH(G$9,MMWR_RATING_STATE_ROLLUP_VSC[#Headers],0)),"ERROR"))</f>
        <v>575</v>
      </c>
      <c r="H17" s="155">
        <f>IF($B17=" ","",IFERROR(INDEX(MMWR_RATING_STATE_ROLLUP_VSC[],MATCH($B17,MMWR_RATING_STATE_ROLLUP_VSC[MMWR_RATING_STATE_ROLLUP_VSC],0),MATCH(H$9,MMWR_RATING_STATE_ROLLUP_VSC[#Headers],0)),"ERROR"))</f>
        <v>154.69999999999999</v>
      </c>
      <c r="I17" s="155">
        <f>IF($B17=" ","",IFERROR(INDEX(MMWR_RATING_STATE_ROLLUP_VSC[],MATCH($B17,MMWR_RATING_STATE_ROLLUP_VSC[MMWR_RATING_STATE_ROLLUP_VSC],0),MATCH(I$9,MMWR_RATING_STATE_ROLLUP_VSC[#Headers],0)),"ERROR"))</f>
        <v>142.7113043478</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379</v>
      </c>
      <c r="D18" s="155">
        <f>IF($B18=" ","",IFERROR(INDEX(MMWR_RATING_STATE_ROLLUP_VSC[],MATCH($B18,MMWR_RATING_STATE_ROLLUP_VSC[MMWR_RATING_STATE_ROLLUP_VSC],0),MATCH(D$9,MMWR_RATING_STATE_ROLLUP_VSC[#Headers],0)),"ERROR"))</f>
        <v>102.27176781</v>
      </c>
      <c r="E18" s="156">
        <f>IF($B18=" ","",IFERROR(INDEX(MMWR_RATING_STATE_ROLLUP_VSC[],MATCH($B18,MMWR_RATING_STATE_ROLLUP_VSC[MMWR_RATING_STATE_ROLLUP_VSC],0),MATCH(E$9,MMWR_RATING_STATE_ROLLUP_VSC[#Headers],0))/$C18,"ERROR"))</f>
        <v>0.22163588390501318</v>
      </c>
      <c r="F18" s="154">
        <f>IF($B18=" ","",IFERROR(INDEX(MMWR_RATING_STATE_ROLLUP_VSC[],MATCH($B18,MMWR_RATING_STATE_ROLLUP_VSC[MMWR_RATING_STATE_ROLLUP_VSC],0),MATCH(F$9,MMWR_RATING_STATE_ROLLUP_VSC[#Headers],0)),"ERROR"))</f>
        <v>37</v>
      </c>
      <c r="G18" s="154">
        <f>IF($B18=" ","",IFERROR(INDEX(MMWR_RATING_STATE_ROLLUP_VSC[],MATCH($B18,MMWR_RATING_STATE_ROLLUP_VSC[MMWR_RATING_STATE_ROLLUP_VSC],0),MATCH(G$9,MMWR_RATING_STATE_ROLLUP_VSC[#Headers],0)),"ERROR"))</f>
        <v>263</v>
      </c>
      <c r="H18" s="155">
        <f>IF($B18=" ","",IFERROR(INDEX(MMWR_RATING_STATE_ROLLUP_VSC[],MATCH($B18,MMWR_RATING_STATE_ROLLUP_VSC[MMWR_RATING_STATE_ROLLUP_VSC],0),MATCH(H$9,MMWR_RATING_STATE_ROLLUP_VSC[#Headers],0)),"ERROR"))</f>
        <v>156.72972972970001</v>
      </c>
      <c r="I18" s="155">
        <f>IF($B18=" ","",IFERROR(INDEX(MMWR_RATING_STATE_ROLLUP_VSC[],MATCH($B18,MMWR_RATING_STATE_ROLLUP_VSC[MMWR_RATING_STATE_ROLLUP_VSC],0),MATCH(I$9,MMWR_RATING_STATE_ROLLUP_VSC[#Headers],0)),"ERROR"))</f>
        <v>152.6273764259</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1257</v>
      </c>
      <c r="D19" s="155">
        <f>IF($B19=" ","",IFERROR(INDEX(MMWR_RATING_STATE_ROLLUP_VSC[],MATCH($B19,MMWR_RATING_STATE_ROLLUP_VSC[MMWR_RATING_STATE_ROLLUP_VSC],0),MATCH(D$9,MMWR_RATING_STATE_ROLLUP_VSC[#Headers],0)),"ERROR"))</f>
        <v>73.891805887000004</v>
      </c>
      <c r="E19" s="156">
        <f>IF($B19=" ","",IFERROR(INDEX(MMWR_RATING_STATE_ROLLUP_VSC[],MATCH($B19,MMWR_RATING_STATE_ROLLUP_VSC[MMWR_RATING_STATE_ROLLUP_VSC],0),MATCH(E$9,MMWR_RATING_STATE_ROLLUP_VSC[#Headers],0))/$C19,"ERROR"))</f>
        <v>0.13762927605409706</v>
      </c>
      <c r="F19" s="154">
        <f>IF($B19=" ","",IFERROR(INDEX(MMWR_RATING_STATE_ROLLUP_VSC[],MATCH($B19,MMWR_RATING_STATE_ROLLUP_VSC[MMWR_RATING_STATE_ROLLUP_VSC],0),MATCH(F$9,MMWR_RATING_STATE_ROLLUP_VSC[#Headers],0)),"ERROR"))</f>
        <v>186</v>
      </c>
      <c r="G19" s="154">
        <f>IF($B19=" ","",IFERROR(INDEX(MMWR_RATING_STATE_ROLLUP_VSC[],MATCH($B19,MMWR_RATING_STATE_ROLLUP_VSC[MMWR_RATING_STATE_ROLLUP_VSC],0),MATCH(G$9,MMWR_RATING_STATE_ROLLUP_VSC[#Headers],0)),"ERROR"))</f>
        <v>1051</v>
      </c>
      <c r="H19" s="155">
        <f>IF($B19=" ","",IFERROR(INDEX(MMWR_RATING_STATE_ROLLUP_VSC[],MATCH($B19,MMWR_RATING_STATE_ROLLUP_VSC[MMWR_RATING_STATE_ROLLUP_VSC],0),MATCH(H$9,MMWR_RATING_STATE_ROLLUP_VSC[#Headers],0)),"ERROR"))</f>
        <v>104.5913978495</v>
      </c>
      <c r="I19" s="155">
        <f>IF($B19=" ","",IFERROR(INDEX(MMWR_RATING_STATE_ROLLUP_VSC[],MATCH($B19,MMWR_RATING_STATE_ROLLUP_VSC[MMWR_RATING_STATE_ROLLUP_VSC],0),MATCH(I$9,MMWR_RATING_STATE_ROLLUP_VSC[#Headers],0)),"ERROR"))</f>
        <v>105.2150333016</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5201</v>
      </c>
      <c r="D20" s="155">
        <f>IF($B20=" ","",IFERROR(INDEX(MMWR_RATING_STATE_ROLLUP_VSC[],MATCH($B20,MMWR_RATING_STATE_ROLLUP_VSC[MMWR_RATING_STATE_ROLLUP_VSC],0),MATCH(D$9,MMWR_RATING_STATE_ROLLUP_VSC[#Headers],0)),"ERROR"))</f>
        <v>93.635839261699999</v>
      </c>
      <c r="E20" s="156">
        <f>IF($B20=" ","",IFERROR(INDEX(MMWR_RATING_STATE_ROLLUP_VSC[],MATCH($B20,MMWR_RATING_STATE_ROLLUP_VSC[MMWR_RATING_STATE_ROLLUP_VSC],0),MATCH(E$9,MMWR_RATING_STATE_ROLLUP_VSC[#Headers],0))/$C20,"ERROR"))</f>
        <v>0.20899826956354547</v>
      </c>
      <c r="F20" s="154">
        <f>IF($B20=" ","",IFERROR(INDEX(MMWR_RATING_STATE_ROLLUP_VSC[],MATCH($B20,MMWR_RATING_STATE_ROLLUP_VSC[MMWR_RATING_STATE_ROLLUP_VSC],0),MATCH(F$9,MMWR_RATING_STATE_ROLLUP_VSC[#Headers],0)),"ERROR"))</f>
        <v>610</v>
      </c>
      <c r="G20" s="154">
        <f>IF($B20=" ","",IFERROR(INDEX(MMWR_RATING_STATE_ROLLUP_VSC[],MATCH($B20,MMWR_RATING_STATE_ROLLUP_VSC[MMWR_RATING_STATE_ROLLUP_VSC],0),MATCH(G$9,MMWR_RATING_STATE_ROLLUP_VSC[#Headers],0)),"ERROR"))</f>
        <v>3654</v>
      </c>
      <c r="H20" s="155">
        <f>IF($B20=" ","",IFERROR(INDEX(MMWR_RATING_STATE_ROLLUP_VSC[],MATCH($B20,MMWR_RATING_STATE_ROLLUP_VSC[MMWR_RATING_STATE_ROLLUP_VSC],0),MATCH(H$9,MMWR_RATING_STATE_ROLLUP_VSC[#Headers],0)),"ERROR"))</f>
        <v>133.59180327870001</v>
      </c>
      <c r="I20" s="155">
        <f>IF($B20=" ","",IFERROR(INDEX(MMWR_RATING_STATE_ROLLUP_VSC[],MATCH($B20,MMWR_RATING_STATE_ROLLUP_VSC[MMWR_RATING_STATE_ROLLUP_VSC],0),MATCH(I$9,MMWR_RATING_STATE_ROLLUP_VSC[#Headers],0)),"ERROR"))</f>
        <v>136.93568691839999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4299</v>
      </c>
      <c r="D21" s="155">
        <f>IF($B21=" ","",IFERROR(INDEX(MMWR_RATING_STATE_ROLLUP_VSC[],MATCH($B21,MMWR_RATING_STATE_ROLLUP_VSC[MMWR_RATING_STATE_ROLLUP_VSC],0),MATCH(D$9,MMWR_RATING_STATE_ROLLUP_VSC[#Headers],0)),"ERROR"))</f>
        <v>98.9785996743</v>
      </c>
      <c r="E21" s="156">
        <f>IF($B21=" ","",IFERROR(INDEX(MMWR_RATING_STATE_ROLLUP_VSC[],MATCH($B21,MMWR_RATING_STATE_ROLLUP_VSC[MMWR_RATING_STATE_ROLLUP_VSC],0),MATCH(E$9,MMWR_RATING_STATE_ROLLUP_VSC[#Headers],0))/$C21,"ERROR"))</f>
        <v>0.26703884624331242</v>
      </c>
      <c r="F21" s="154">
        <f>IF($B21=" ","",IFERROR(INDEX(MMWR_RATING_STATE_ROLLUP_VSC[],MATCH($B21,MMWR_RATING_STATE_ROLLUP_VSC[MMWR_RATING_STATE_ROLLUP_VSC],0),MATCH(F$9,MMWR_RATING_STATE_ROLLUP_VSC[#Headers],0)),"ERROR"))</f>
        <v>479</v>
      </c>
      <c r="G21" s="154">
        <f>IF($B21=" ","",IFERROR(INDEX(MMWR_RATING_STATE_ROLLUP_VSC[],MATCH($B21,MMWR_RATING_STATE_ROLLUP_VSC[MMWR_RATING_STATE_ROLLUP_VSC],0),MATCH(G$9,MMWR_RATING_STATE_ROLLUP_VSC[#Headers],0)),"ERROR"))</f>
        <v>2786</v>
      </c>
      <c r="H21" s="155">
        <f>IF($B21=" ","",IFERROR(INDEX(MMWR_RATING_STATE_ROLLUP_VSC[],MATCH($B21,MMWR_RATING_STATE_ROLLUP_VSC[MMWR_RATING_STATE_ROLLUP_VSC],0),MATCH(H$9,MMWR_RATING_STATE_ROLLUP_VSC[#Headers],0)),"ERROR"))</f>
        <v>115.8183716075</v>
      </c>
      <c r="I21" s="155">
        <f>IF($B21=" ","",IFERROR(INDEX(MMWR_RATING_STATE_ROLLUP_VSC[],MATCH($B21,MMWR_RATING_STATE_ROLLUP_VSC[MMWR_RATING_STATE_ROLLUP_VSC],0),MATCH(I$9,MMWR_RATING_STATE_ROLLUP_VSC[#Headers],0)),"ERROR"))</f>
        <v>119.4468772434</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1289</v>
      </c>
      <c r="D22" s="155">
        <f>IF($B22=" ","",IFERROR(INDEX(MMWR_RATING_STATE_ROLLUP_VSC[],MATCH($B22,MMWR_RATING_STATE_ROLLUP_VSC[MMWR_RATING_STATE_ROLLUP_VSC],0),MATCH(D$9,MMWR_RATING_STATE_ROLLUP_VSC[#Headers],0)),"ERROR"))</f>
        <v>96.519006982199997</v>
      </c>
      <c r="E22" s="156">
        <f>IF($B22=" ","",IFERROR(INDEX(MMWR_RATING_STATE_ROLLUP_VSC[],MATCH($B22,MMWR_RATING_STATE_ROLLUP_VSC[MMWR_RATING_STATE_ROLLUP_VSC],0),MATCH(E$9,MMWR_RATING_STATE_ROLLUP_VSC[#Headers],0))/$C22,"ERROR"))</f>
        <v>0.23273855702094648</v>
      </c>
      <c r="F22" s="154">
        <f>IF($B22=" ","",IFERROR(INDEX(MMWR_RATING_STATE_ROLLUP_VSC[],MATCH($B22,MMWR_RATING_STATE_ROLLUP_VSC[MMWR_RATING_STATE_ROLLUP_VSC],0),MATCH(F$9,MMWR_RATING_STATE_ROLLUP_VSC[#Headers],0)),"ERROR"))</f>
        <v>194</v>
      </c>
      <c r="G22" s="154">
        <f>IF($B22=" ","",IFERROR(INDEX(MMWR_RATING_STATE_ROLLUP_VSC[],MATCH($B22,MMWR_RATING_STATE_ROLLUP_VSC[MMWR_RATING_STATE_ROLLUP_VSC],0),MATCH(G$9,MMWR_RATING_STATE_ROLLUP_VSC[#Headers],0)),"ERROR"))</f>
        <v>814</v>
      </c>
      <c r="H22" s="155">
        <f>IF($B22=" ","",IFERROR(INDEX(MMWR_RATING_STATE_ROLLUP_VSC[],MATCH($B22,MMWR_RATING_STATE_ROLLUP_VSC[MMWR_RATING_STATE_ROLLUP_VSC],0),MATCH(H$9,MMWR_RATING_STATE_ROLLUP_VSC[#Headers],0)),"ERROR"))</f>
        <v>128.8350515464</v>
      </c>
      <c r="I22" s="155">
        <f>IF($B22=" ","",IFERROR(INDEX(MMWR_RATING_STATE_ROLLUP_VSC[],MATCH($B22,MMWR_RATING_STATE_ROLLUP_VSC[MMWR_RATING_STATE_ROLLUP_VSC],0),MATCH(I$9,MMWR_RATING_STATE_ROLLUP_VSC[#Headers],0)),"ERROR"))</f>
        <v>129.82432432429999</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4084</v>
      </c>
      <c r="D23" s="155">
        <f>IF($B23=" ","",IFERROR(INDEX(MMWR_RATING_STATE_ROLLUP_VSC[],MATCH($B23,MMWR_RATING_STATE_ROLLUP_VSC[MMWR_RATING_STATE_ROLLUP_VSC],0),MATCH(D$9,MMWR_RATING_STATE_ROLLUP_VSC[#Headers],0)),"ERROR"))</f>
        <v>93.694417238</v>
      </c>
      <c r="E23" s="156">
        <f>IF($B23=" ","",IFERROR(INDEX(MMWR_RATING_STATE_ROLLUP_VSC[],MATCH($B23,MMWR_RATING_STATE_ROLLUP_VSC[MMWR_RATING_STATE_ROLLUP_VSC],0),MATCH(E$9,MMWR_RATING_STATE_ROLLUP_VSC[#Headers],0))/$C23,"ERROR"))</f>
        <v>0.22012732615083253</v>
      </c>
      <c r="F23" s="154">
        <f>IF($B23=" ","",IFERROR(INDEX(MMWR_RATING_STATE_ROLLUP_VSC[],MATCH($B23,MMWR_RATING_STATE_ROLLUP_VSC[MMWR_RATING_STATE_ROLLUP_VSC],0),MATCH(F$9,MMWR_RATING_STATE_ROLLUP_VSC[#Headers],0)),"ERROR"))</f>
        <v>393</v>
      </c>
      <c r="G23" s="154">
        <f>IF($B23=" ","",IFERROR(INDEX(MMWR_RATING_STATE_ROLLUP_VSC[],MATCH($B23,MMWR_RATING_STATE_ROLLUP_VSC[MMWR_RATING_STATE_ROLLUP_VSC],0),MATCH(G$9,MMWR_RATING_STATE_ROLLUP_VSC[#Headers],0)),"ERROR"))</f>
        <v>2619</v>
      </c>
      <c r="H23" s="155">
        <f>IF($B23=" ","",IFERROR(INDEX(MMWR_RATING_STATE_ROLLUP_VSC[],MATCH($B23,MMWR_RATING_STATE_ROLLUP_VSC[MMWR_RATING_STATE_ROLLUP_VSC],0),MATCH(H$9,MMWR_RATING_STATE_ROLLUP_VSC[#Headers],0)),"ERROR"))</f>
        <v>152.77099236640001</v>
      </c>
      <c r="I23" s="155">
        <f>IF($B23=" ","",IFERROR(INDEX(MMWR_RATING_STATE_ROLLUP_VSC[],MATCH($B23,MMWR_RATING_STATE_ROLLUP_VSC[MMWR_RATING_STATE_ROLLUP_VSC],0),MATCH(I$9,MMWR_RATING_STATE_ROLLUP_VSC[#Headers],0)),"ERROR"))</f>
        <v>143.13631156930001</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8482</v>
      </c>
      <c r="D24" s="155">
        <f>IF($B24=" ","",IFERROR(INDEX(MMWR_RATING_STATE_ROLLUP_VSC[],MATCH($B24,MMWR_RATING_STATE_ROLLUP_VSC[MMWR_RATING_STATE_ROLLUP_VSC],0),MATCH(D$9,MMWR_RATING_STATE_ROLLUP_VSC[#Headers],0)),"ERROR"))</f>
        <v>92.7508842254</v>
      </c>
      <c r="E24" s="156">
        <f>IF($B24=" ","",IFERROR(INDEX(MMWR_RATING_STATE_ROLLUP_VSC[],MATCH($B24,MMWR_RATING_STATE_ROLLUP_VSC[MMWR_RATING_STATE_ROLLUP_VSC],0),MATCH(E$9,MMWR_RATING_STATE_ROLLUP_VSC[#Headers],0))/$C24,"ERROR"))</f>
        <v>0.21740155623673663</v>
      </c>
      <c r="F24" s="154">
        <f>IF($B24=" ","",IFERROR(INDEX(MMWR_RATING_STATE_ROLLUP_VSC[],MATCH($B24,MMWR_RATING_STATE_ROLLUP_VSC[MMWR_RATING_STATE_ROLLUP_VSC],0),MATCH(F$9,MMWR_RATING_STATE_ROLLUP_VSC[#Headers],0)),"ERROR"))</f>
        <v>994</v>
      </c>
      <c r="G24" s="154">
        <f>IF($B24=" ","",IFERROR(INDEX(MMWR_RATING_STATE_ROLLUP_VSC[],MATCH($B24,MMWR_RATING_STATE_ROLLUP_VSC[MMWR_RATING_STATE_ROLLUP_VSC],0),MATCH(G$9,MMWR_RATING_STATE_ROLLUP_VSC[#Headers],0)),"ERROR"))</f>
        <v>5625</v>
      </c>
      <c r="H24" s="155">
        <f>IF($B24=" ","",IFERROR(INDEX(MMWR_RATING_STATE_ROLLUP_VSC[],MATCH($B24,MMWR_RATING_STATE_ROLLUP_VSC[MMWR_RATING_STATE_ROLLUP_VSC],0),MATCH(H$9,MMWR_RATING_STATE_ROLLUP_VSC[#Headers],0)),"ERROR"))</f>
        <v>134.9235412475</v>
      </c>
      <c r="I24" s="155">
        <f>IF($B24=" ","",IFERROR(INDEX(MMWR_RATING_STATE_ROLLUP_VSC[],MATCH($B24,MMWR_RATING_STATE_ROLLUP_VSC[MMWR_RATING_STATE_ROLLUP_VSC],0),MATCH(I$9,MMWR_RATING_STATE_ROLLUP_VSC[#Headers],0)),"ERROR"))</f>
        <v>139.1891555556</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16336</v>
      </c>
      <c r="D25" s="155">
        <f>IF($B25=" ","",IFERROR(INDEX(MMWR_RATING_STATE_ROLLUP_VSC[],MATCH($B25,MMWR_RATING_STATE_ROLLUP_VSC[MMWR_RATING_STATE_ROLLUP_VSC],0),MATCH(D$9,MMWR_RATING_STATE_ROLLUP_VSC[#Headers],0)),"ERROR"))</f>
        <v>99.534463760999998</v>
      </c>
      <c r="E25" s="156">
        <f>IF($B25=" ","",IFERROR(INDEX(MMWR_RATING_STATE_ROLLUP_VSC[],MATCH($B25,MMWR_RATING_STATE_ROLLUP_VSC[MMWR_RATING_STATE_ROLLUP_VSC],0),MATCH(E$9,MMWR_RATING_STATE_ROLLUP_VSC[#Headers],0))/$C25,"ERROR"))</f>
        <v>0.25189764936336922</v>
      </c>
      <c r="F25" s="154">
        <f>IF($B25=" ","",IFERROR(INDEX(MMWR_RATING_STATE_ROLLUP_VSC[],MATCH($B25,MMWR_RATING_STATE_ROLLUP_VSC[MMWR_RATING_STATE_ROLLUP_VSC],0),MATCH(F$9,MMWR_RATING_STATE_ROLLUP_VSC[#Headers],0)),"ERROR"))</f>
        <v>2027</v>
      </c>
      <c r="G25" s="154">
        <f>IF($B25=" ","",IFERROR(INDEX(MMWR_RATING_STATE_ROLLUP_VSC[],MATCH($B25,MMWR_RATING_STATE_ROLLUP_VSC[MMWR_RATING_STATE_ROLLUP_VSC],0),MATCH(G$9,MMWR_RATING_STATE_ROLLUP_VSC[#Headers],0)),"ERROR"))</f>
        <v>10488</v>
      </c>
      <c r="H25" s="155">
        <f>IF($B25=" ","",IFERROR(INDEX(MMWR_RATING_STATE_ROLLUP_VSC[],MATCH($B25,MMWR_RATING_STATE_ROLLUP_VSC[MMWR_RATING_STATE_ROLLUP_VSC],0),MATCH(H$9,MMWR_RATING_STATE_ROLLUP_VSC[#Headers],0)),"ERROR"))</f>
        <v>136.15046867289999</v>
      </c>
      <c r="I25" s="155">
        <f>IF($B25=" ","",IFERROR(INDEX(MMWR_RATING_STATE_ROLLUP_VSC[],MATCH($B25,MMWR_RATING_STATE_ROLLUP_VSC[MMWR_RATING_STATE_ROLLUP_VSC],0),MATCH(I$9,MMWR_RATING_STATE_ROLLUP_VSC[#Headers],0)),"ERROR"))</f>
        <v>143.59887490470001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9164</v>
      </c>
      <c r="D26" s="155">
        <f>IF($B26=" ","",IFERROR(INDEX(MMWR_RATING_STATE_ROLLUP_VSC[],MATCH($B26,MMWR_RATING_STATE_ROLLUP_VSC[MMWR_RATING_STATE_ROLLUP_VSC],0),MATCH(D$9,MMWR_RATING_STATE_ROLLUP_VSC[#Headers],0)),"ERROR"))</f>
        <v>103.8238760367</v>
      </c>
      <c r="E26" s="156">
        <f>IF($B26=" ","",IFERROR(INDEX(MMWR_RATING_STATE_ROLLUP_VSC[],MATCH($B26,MMWR_RATING_STATE_ROLLUP_VSC[MMWR_RATING_STATE_ROLLUP_VSC],0),MATCH(E$9,MMWR_RATING_STATE_ROLLUP_VSC[#Headers],0))/$C26,"ERROR"))</f>
        <v>0.26615015277171539</v>
      </c>
      <c r="F26" s="154">
        <f>IF($B26=" ","",IFERROR(INDEX(MMWR_RATING_STATE_ROLLUP_VSC[],MATCH($B26,MMWR_RATING_STATE_ROLLUP_VSC[MMWR_RATING_STATE_ROLLUP_VSC],0),MATCH(F$9,MMWR_RATING_STATE_ROLLUP_VSC[#Headers],0)),"ERROR"))</f>
        <v>1122</v>
      </c>
      <c r="G26" s="154">
        <f>IF($B26=" ","",IFERROR(INDEX(MMWR_RATING_STATE_ROLLUP_VSC[],MATCH($B26,MMWR_RATING_STATE_ROLLUP_VSC[MMWR_RATING_STATE_ROLLUP_VSC],0),MATCH(G$9,MMWR_RATING_STATE_ROLLUP_VSC[#Headers],0)),"ERROR"))</f>
        <v>6134</v>
      </c>
      <c r="H26" s="155">
        <f>IF($B26=" ","",IFERROR(INDEX(MMWR_RATING_STATE_ROLLUP_VSC[],MATCH($B26,MMWR_RATING_STATE_ROLLUP_VSC[MMWR_RATING_STATE_ROLLUP_VSC],0),MATCH(H$9,MMWR_RATING_STATE_ROLLUP_VSC[#Headers],0)),"ERROR"))</f>
        <v>145.04188948309999</v>
      </c>
      <c r="I26" s="155">
        <f>IF($B26=" ","",IFERROR(INDEX(MMWR_RATING_STATE_ROLLUP_VSC[],MATCH($B26,MMWR_RATING_STATE_ROLLUP_VSC[MMWR_RATING_STATE_ROLLUP_VSC],0),MATCH(I$9,MMWR_RATING_STATE_ROLLUP_VSC[#Headers],0)),"ERROR"))</f>
        <v>149.5238017607</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891</v>
      </c>
      <c r="D27" s="155">
        <f>IF($B27=" ","",IFERROR(INDEX(MMWR_RATING_STATE_ROLLUP_VSC[],MATCH($B27,MMWR_RATING_STATE_ROLLUP_VSC[MMWR_RATING_STATE_ROLLUP_VSC],0),MATCH(D$9,MMWR_RATING_STATE_ROLLUP_VSC[#Headers],0)),"ERROR"))</f>
        <v>89.301907968600005</v>
      </c>
      <c r="E27" s="156">
        <f>IF($B27=" ","",IFERROR(INDEX(MMWR_RATING_STATE_ROLLUP_VSC[],MATCH($B27,MMWR_RATING_STATE_ROLLUP_VSC[MMWR_RATING_STATE_ROLLUP_VSC],0),MATCH(E$9,MMWR_RATING_STATE_ROLLUP_VSC[#Headers],0))/$C27,"ERROR"))</f>
        <v>0.18630751964085299</v>
      </c>
      <c r="F27" s="154">
        <f>IF($B27=" ","",IFERROR(INDEX(MMWR_RATING_STATE_ROLLUP_VSC[],MATCH($B27,MMWR_RATING_STATE_ROLLUP_VSC[MMWR_RATING_STATE_ROLLUP_VSC],0),MATCH(F$9,MMWR_RATING_STATE_ROLLUP_VSC[#Headers],0)),"ERROR"))</f>
        <v>128</v>
      </c>
      <c r="G27" s="154">
        <f>IF($B27=" ","",IFERROR(INDEX(MMWR_RATING_STATE_ROLLUP_VSC[],MATCH($B27,MMWR_RATING_STATE_ROLLUP_VSC[MMWR_RATING_STATE_ROLLUP_VSC],0),MATCH(G$9,MMWR_RATING_STATE_ROLLUP_VSC[#Headers],0)),"ERROR"))</f>
        <v>644</v>
      </c>
      <c r="H27" s="155">
        <f>IF($B27=" ","",IFERROR(INDEX(MMWR_RATING_STATE_ROLLUP_VSC[],MATCH($B27,MMWR_RATING_STATE_ROLLUP_VSC[MMWR_RATING_STATE_ROLLUP_VSC],0),MATCH(H$9,MMWR_RATING_STATE_ROLLUP_VSC[#Headers],0)),"ERROR"))</f>
        <v>108.1953125</v>
      </c>
      <c r="I27" s="155">
        <f>IF($B27=" ","",IFERROR(INDEX(MMWR_RATING_STATE_ROLLUP_VSC[],MATCH($B27,MMWR_RATING_STATE_ROLLUP_VSC[MMWR_RATING_STATE_ROLLUP_VSC],0),MATCH(I$9,MMWR_RATING_STATE_ROLLUP_VSC[#Headers],0)),"ERROR"))</f>
        <v>111.1086956522</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515</v>
      </c>
      <c r="D28" s="155">
        <f>IF($B28=" ","",IFERROR(INDEX(MMWR_RATING_STATE_ROLLUP_VSC[],MATCH($B28,MMWR_RATING_STATE_ROLLUP_VSC[MMWR_RATING_STATE_ROLLUP_VSC],0),MATCH(D$9,MMWR_RATING_STATE_ROLLUP_VSC[#Headers],0)),"ERROR"))</f>
        <v>88.252427184499993</v>
      </c>
      <c r="E28" s="156">
        <f>IF($B28=" ","",IFERROR(INDEX(MMWR_RATING_STATE_ROLLUP_VSC[],MATCH($B28,MMWR_RATING_STATE_ROLLUP_VSC[MMWR_RATING_STATE_ROLLUP_VSC],0),MATCH(E$9,MMWR_RATING_STATE_ROLLUP_VSC[#Headers],0))/$C28,"ERROR"))</f>
        <v>0.21553398058252426</v>
      </c>
      <c r="F28" s="154">
        <f>IF($B28=" ","",IFERROR(INDEX(MMWR_RATING_STATE_ROLLUP_VSC[],MATCH($B28,MMWR_RATING_STATE_ROLLUP_VSC[MMWR_RATING_STATE_ROLLUP_VSC],0),MATCH(F$9,MMWR_RATING_STATE_ROLLUP_VSC[#Headers],0)),"ERROR"))</f>
        <v>48</v>
      </c>
      <c r="G28" s="154">
        <f>IF($B28=" ","",IFERROR(INDEX(MMWR_RATING_STATE_ROLLUP_VSC[],MATCH($B28,MMWR_RATING_STATE_ROLLUP_VSC[MMWR_RATING_STATE_ROLLUP_VSC],0),MATCH(G$9,MMWR_RATING_STATE_ROLLUP_VSC[#Headers],0)),"ERROR"))</f>
        <v>203</v>
      </c>
      <c r="H28" s="155">
        <f>IF($B28=" ","",IFERROR(INDEX(MMWR_RATING_STATE_ROLLUP_VSC[],MATCH($B28,MMWR_RATING_STATE_ROLLUP_VSC[MMWR_RATING_STATE_ROLLUP_VSC],0),MATCH(H$9,MMWR_RATING_STATE_ROLLUP_VSC[#Headers],0)),"ERROR"))</f>
        <v>142.4791666667</v>
      </c>
      <c r="I28" s="155">
        <f>IF($B28=" ","",IFERROR(INDEX(MMWR_RATING_STATE_ROLLUP_VSC[],MATCH($B28,MMWR_RATING_STATE_ROLLUP_VSC[MMWR_RATING_STATE_ROLLUP_VSC],0),MATCH(I$9,MMWR_RATING_STATE_ROLLUP_VSC[#Headers],0)),"ERROR"))</f>
        <v>133.2167487685</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10871</v>
      </c>
      <c r="D29" s="155">
        <f>IF($B29=" ","",IFERROR(INDEX(MMWR_RATING_STATE_ROLLUP_VSC[],MATCH($B29,MMWR_RATING_STATE_ROLLUP_VSC[MMWR_RATING_STATE_ROLLUP_VSC],0),MATCH(D$9,MMWR_RATING_STATE_ROLLUP_VSC[#Headers],0)),"ERROR"))</f>
        <v>89.780884923200006</v>
      </c>
      <c r="E29" s="156">
        <f>IF($B29=" ","",IFERROR(INDEX(MMWR_RATING_STATE_ROLLUP_VSC[],MATCH($B29,MMWR_RATING_STATE_ROLLUP_VSC[MMWR_RATING_STATE_ROLLUP_VSC],0),MATCH(E$9,MMWR_RATING_STATE_ROLLUP_VSC[#Headers],0))/$C29,"ERROR"))</f>
        <v>0.19529022169073681</v>
      </c>
      <c r="F29" s="154">
        <f>IF($B29=" ","",IFERROR(INDEX(MMWR_RATING_STATE_ROLLUP_VSC[],MATCH($B29,MMWR_RATING_STATE_ROLLUP_VSC[MMWR_RATING_STATE_ROLLUP_VSC],0),MATCH(F$9,MMWR_RATING_STATE_ROLLUP_VSC[#Headers],0)),"ERROR"))</f>
        <v>1010</v>
      </c>
      <c r="G29" s="154">
        <f>IF($B29=" ","",IFERROR(INDEX(MMWR_RATING_STATE_ROLLUP_VSC[],MATCH($B29,MMWR_RATING_STATE_ROLLUP_VSC[MMWR_RATING_STATE_ROLLUP_VSC],0),MATCH(G$9,MMWR_RATING_STATE_ROLLUP_VSC[#Headers],0)),"ERROR"))</f>
        <v>6498</v>
      </c>
      <c r="H29" s="155">
        <f>IF($B29=" ","",IFERROR(INDEX(MMWR_RATING_STATE_ROLLUP_VSC[],MATCH($B29,MMWR_RATING_STATE_ROLLUP_VSC[MMWR_RATING_STATE_ROLLUP_VSC],0),MATCH(H$9,MMWR_RATING_STATE_ROLLUP_VSC[#Headers],0)),"ERROR"))</f>
        <v>153.96534653469999</v>
      </c>
      <c r="I29" s="155">
        <f>IF($B29=" ","",IFERROR(INDEX(MMWR_RATING_STATE_ROLLUP_VSC[],MATCH($B29,MMWR_RATING_STATE_ROLLUP_VSC[MMWR_RATING_STATE_ROLLUP_VSC],0),MATCH(I$9,MMWR_RATING_STATE_ROLLUP_VSC[#Headers],0)),"ERROR"))</f>
        <v>141.71237303789999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2555</v>
      </c>
      <c r="D30" s="155">
        <f>IF($B30=" ","",IFERROR(INDEX(MMWR_RATING_STATE_ROLLUP_VSC[],MATCH($B30,MMWR_RATING_STATE_ROLLUP_VSC[MMWR_RATING_STATE_ROLLUP_VSC],0),MATCH(D$9,MMWR_RATING_STATE_ROLLUP_VSC[#Headers],0)),"ERROR"))</f>
        <v>82.062622309199995</v>
      </c>
      <c r="E30" s="156">
        <f>IF($B30=" ","",IFERROR(INDEX(MMWR_RATING_STATE_ROLLUP_VSC[],MATCH($B30,MMWR_RATING_STATE_ROLLUP_VSC[MMWR_RATING_STATE_ROLLUP_VSC],0),MATCH(E$9,MMWR_RATING_STATE_ROLLUP_VSC[#Headers],0))/$C30,"ERROR"))</f>
        <v>0.14324853228962817</v>
      </c>
      <c r="F30" s="154">
        <f>IF($B30=" ","",IFERROR(INDEX(MMWR_RATING_STATE_ROLLUP_VSC[],MATCH($B30,MMWR_RATING_STATE_ROLLUP_VSC[MMWR_RATING_STATE_ROLLUP_VSC],0),MATCH(F$9,MMWR_RATING_STATE_ROLLUP_VSC[#Headers],0)),"ERROR"))</f>
        <v>317</v>
      </c>
      <c r="G30" s="154">
        <f>IF($B30=" ","",IFERROR(INDEX(MMWR_RATING_STATE_ROLLUP_VSC[],MATCH($B30,MMWR_RATING_STATE_ROLLUP_VSC[MMWR_RATING_STATE_ROLLUP_VSC],0),MATCH(G$9,MMWR_RATING_STATE_ROLLUP_VSC[#Headers],0)),"ERROR"))</f>
        <v>1747</v>
      </c>
      <c r="H30" s="155">
        <f>IF($B30=" ","",IFERROR(INDEX(MMWR_RATING_STATE_ROLLUP_VSC[],MATCH($B30,MMWR_RATING_STATE_ROLLUP_VSC[MMWR_RATING_STATE_ROLLUP_VSC],0),MATCH(H$9,MMWR_RATING_STATE_ROLLUP_VSC[#Headers],0)),"ERROR"))</f>
        <v>126.6340694006</v>
      </c>
      <c r="I30" s="155">
        <f>IF($B30=" ","",IFERROR(INDEX(MMWR_RATING_STATE_ROLLUP_VSC[],MATCH($B30,MMWR_RATING_STATE_ROLLUP_VSC[MMWR_RATING_STATE_ROLLUP_VSC],0),MATCH(I$9,MMWR_RATING_STATE_ROLLUP_VSC[#Headers],0)),"ERROR"))</f>
        <v>119.1820263309</v>
      </c>
      <c r="J30" s="42"/>
      <c r="K30" s="42"/>
      <c r="L30" s="42"/>
      <c r="M30" s="42"/>
      <c r="N30" s="28"/>
    </row>
    <row r="31" spans="1:14" x14ac:dyDescent="0.2">
      <c r="A31" s="25"/>
      <c r="B31" s="342" t="s">
        <v>966</v>
      </c>
      <c r="C31" s="343"/>
      <c r="D31" s="343"/>
      <c r="E31" s="343"/>
      <c r="F31" s="343"/>
      <c r="G31" s="343"/>
      <c r="H31" s="343"/>
      <c r="I31" s="343"/>
      <c r="J31" s="343"/>
      <c r="K31" s="343"/>
      <c r="L31" s="343"/>
      <c r="M31" s="393"/>
      <c r="N31" s="28"/>
    </row>
    <row r="32" spans="1:14" x14ac:dyDescent="0.2">
      <c r="A32" s="25"/>
      <c r="B32" s="41" t="s">
        <v>1045</v>
      </c>
      <c r="C32" s="154">
        <f>IF($B32=" ","",IFERROR(INDEX(MMWR_RATING_STATE_ROLLUP_PMC[],MATCH($B32,MMWR_RATING_STATE_ROLLUP_PMC[MMWR_RATING_STATE_ROLLUP_PMC],0),MATCH(C$9,MMWR_RATING_STATE_ROLLUP_PMC[#Headers],0)),"ERROR"))</f>
        <v>26172</v>
      </c>
      <c r="D32" s="155">
        <f>IF($B32=" ","",IFERROR(INDEX(MMWR_RATING_STATE_ROLLUP_PMC[],MATCH($B32,MMWR_RATING_STATE_ROLLUP_PMC[MMWR_RATING_STATE_ROLLUP_PMC],0),MATCH(D$9,MMWR_RATING_STATE_ROLLUP_PMC[#Headers],0)),"ERROR"))</f>
        <v>64.723597737999995</v>
      </c>
      <c r="E32" s="156">
        <f>IF($B32=" ","",IFERROR(INDEX(MMWR_RATING_STATE_ROLLUP_PMC[],MATCH($B32,MMWR_RATING_STATE_ROLLUP_PMC[MMWR_RATING_STATE_ROLLUP_PMC],0),MATCH(E$9,MMWR_RATING_STATE_ROLLUP_PMC[#Headers],0))/$C32,"ERROR"))</f>
        <v>8.658107901574201E-2</v>
      </c>
      <c r="F32" s="154">
        <f>IF($B32=" ","",IFERROR(INDEX(MMWR_RATING_STATE_ROLLUP_PMC[],MATCH($B32,MMWR_RATING_STATE_ROLLUP_PMC[MMWR_RATING_STATE_ROLLUP_PMC],0),MATCH(F$9,MMWR_RATING_STATE_ROLLUP_PMC[#Headers],0)),"ERROR"))</f>
        <v>5070</v>
      </c>
      <c r="G32" s="154">
        <f>IF($B32=" ","",IFERROR(INDEX(MMWR_RATING_STATE_ROLLUP_PMC[],MATCH($B32,MMWR_RATING_STATE_ROLLUP_PMC[MMWR_RATING_STATE_ROLLUP_PMC],0),MATCH(G$9,MMWR_RATING_STATE_ROLLUP_PMC[#Headers],0)),"ERROR"))</f>
        <v>28622</v>
      </c>
      <c r="H32" s="155">
        <f>IF($B32=" ","",IFERROR(INDEX(MMWR_RATING_STATE_ROLLUP_PMC[],MATCH($B32,MMWR_RATING_STATE_ROLLUP_PMC[MMWR_RATING_STATE_ROLLUP_PMC],0),MATCH(H$9,MMWR_RATING_STATE_ROLLUP_PMC[#Headers],0)),"ERROR"))</f>
        <v>76.250493096599996</v>
      </c>
      <c r="I32" s="155">
        <f>IF($B32=" ","",IFERROR(INDEX(MMWR_RATING_STATE_ROLLUP_PMC[],MATCH($B32,MMWR_RATING_STATE_ROLLUP_PMC[MMWR_RATING_STATE_ROLLUP_PMC],0),MATCH(I$9,MMWR_RATING_STATE_ROLLUP_PMC[#Headers],0)),"ERROR"))</f>
        <v>70.697260848300004</v>
      </c>
      <c r="J32" s="42"/>
      <c r="K32" s="42"/>
      <c r="L32" s="42"/>
      <c r="M32" s="42"/>
      <c r="N32" s="28"/>
    </row>
    <row r="33" spans="1:14" x14ac:dyDescent="0.2">
      <c r="A33" s="25"/>
      <c r="B33" s="249" t="str">
        <f>INDEX(DISTRICT_STATES[],MATCH($B$5,DISTRICT_RO[District],0),1)</f>
        <v>North Atlantic</v>
      </c>
      <c r="C33" s="154">
        <f>IF($B33=" ","",IFERROR(INDEX(MMWR_RATING_STATE_ROLLUP_PMC[],MATCH($B33,MMWR_RATING_STATE_ROLLUP_PMC[MMWR_RATING_STATE_ROLLUP_PMC],0),MATCH(C$9,MMWR_RATING_STATE_ROLLUP_PMC[#Headers],0)),"ERROR"))</f>
        <v>6967</v>
      </c>
      <c r="D33" s="155">
        <f>IF($B33=" ","",IFERROR(INDEX(MMWR_RATING_STATE_ROLLUP_PMC[],MATCH($B33,MMWR_RATING_STATE_ROLLUP_PMC[MMWR_RATING_STATE_ROLLUP_PMC],0),MATCH(D$9,MMWR_RATING_STATE_ROLLUP_PMC[#Headers],0)),"ERROR"))</f>
        <v>67.037892923800001</v>
      </c>
      <c r="E33" s="156">
        <f>IF($B33=" ","",IFERROR(INDEX(MMWR_RATING_STATE_ROLLUP_PMC[],MATCH($B33,MMWR_RATING_STATE_ROLLUP_PMC[MMWR_RATING_STATE_ROLLUP_PMC],0),MATCH(E$9,MMWR_RATING_STATE_ROLLUP_PMC[#Headers],0))/$C33,"ERROR"))</f>
        <v>9.4445241854456727E-2</v>
      </c>
      <c r="F33" s="154">
        <f>IF($B33=" ","",IFERROR(INDEX(MMWR_RATING_STATE_ROLLUP_PMC[],MATCH($B33,MMWR_RATING_STATE_ROLLUP_PMC[MMWR_RATING_STATE_ROLLUP_PMC],0),MATCH(F$9,MMWR_RATING_STATE_ROLLUP_PMC[#Headers],0)),"ERROR"))</f>
        <v>1004</v>
      </c>
      <c r="G33" s="154">
        <f>IF($B33=" ","",IFERROR(INDEX(MMWR_RATING_STATE_ROLLUP_PMC[],MATCH($B33,MMWR_RATING_STATE_ROLLUP_PMC[MMWR_RATING_STATE_ROLLUP_PMC],0),MATCH(G$9,MMWR_RATING_STATE_ROLLUP_PMC[#Headers],0)),"ERROR"))</f>
        <v>5577</v>
      </c>
      <c r="H33" s="155">
        <f>IF($B33=" ","",IFERROR(INDEX(MMWR_RATING_STATE_ROLLUP_PMC[],MATCH($B33,MMWR_RATING_STATE_ROLLUP_PMC[MMWR_RATING_STATE_ROLLUP_PMC],0),MATCH(H$9,MMWR_RATING_STATE_ROLLUP_PMC[#Headers],0)),"ERROR"))</f>
        <v>85.928286852599996</v>
      </c>
      <c r="I33" s="155">
        <f>IF($B33=" ","",IFERROR(INDEX(MMWR_RATING_STATE_ROLLUP_PMC[],MATCH($B33,MMWR_RATING_STATE_ROLLUP_PMC[MMWR_RATING_STATE_ROLLUP_PMC],0),MATCH(I$9,MMWR_RATING_STATE_ROLLUP_PMC[#Headers],0)),"ERROR"))</f>
        <v>82.226824457600003</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213</v>
      </c>
      <c r="D34" s="155">
        <f>IF($B34=" ","",IFERROR(INDEX(MMWR_RATING_STATE_ROLLUP_PMC[],MATCH($B34,MMWR_RATING_STATE_ROLLUP_PMC[MMWR_RATING_STATE_ROLLUP_PMC],0),MATCH(D$9,MMWR_RATING_STATE_ROLLUP_PMC[#Headers],0)),"ERROR"))</f>
        <v>66.666666666699996</v>
      </c>
      <c r="E34" s="156">
        <f>IF($B34=" ","",IFERROR(INDEX(MMWR_RATING_STATE_ROLLUP_PMC[],MATCH($B34,MMWR_RATING_STATE_ROLLUP_PMC[MMWR_RATING_STATE_ROLLUP_PMC],0),MATCH(E$9,MMWR_RATING_STATE_ROLLUP_PMC[#Headers],0))/$C34,"ERROR"))</f>
        <v>0.107981220657277</v>
      </c>
      <c r="F34" s="154">
        <f>IF($B34=" ","",IFERROR(INDEX(MMWR_RATING_STATE_ROLLUP_PMC[],MATCH($B34,MMWR_RATING_STATE_ROLLUP_PMC[MMWR_RATING_STATE_ROLLUP_PMC],0),MATCH(F$9,MMWR_RATING_STATE_ROLLUP_PMC[#Headers],0)),"ERROR"))</f>
        <v>32</v>
      </c>
      <c r="G34" s="154">
        <f>IF($B34=" ","",IFERROR(INDEX(MMWR_RATING_STATE_ROLLUP_PMC[],MATCH($B34,MMWR_RATING_STATE_ROLLUP_PMC[MMWR_RATING_STATE_ROLLUP_PMC],0),MATCH(G$9,MMWR_RATING_STATE_ROLLUP_PMC[#Headers],0)),"ERROR"))</f>
        <v>166</v>
      </c>
      <c r="H34" s="155">
        <f>IF($B34=" ","",IFERROR(INDEX(MMWR_RATING_STATE_ROLLUP_PMC[],MATCH($B34,MMWR_RATING_STATE_ROLLUP_PMC[MMWR_RATING_STATE_ROLLUP_PMC],0),MATCH(H$9,MMWR_RATING_STATE_ROLLUP_PMC[#Headers],0)),"ERROR"))</f>
        <v>71.4375</v>
      </c>
      <c r="I34" s="155">
        <f>IF($B34=" ","",IFERROR(INDEX(MMWR_RATING_STATE_ROLLUP_PMC[],MATCH($B34,MMWR_RATING_STATE_ROLLUP_PMC[MMWR_RATING_STATE_ROLLUP_PMC],0),MATCH(I$9,MMWR_RATING_STATE_ROLLUP_PMC[#Headers],0)),"ERROR"))</f>
        <v>77.259036144600003</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67</v>
      </c>
      <c r="D35" s="155">
        <f>IF($B35=" ","",IFERROR(INDEX(MMWR_RATING_STATE_ROLLUP_PMC[],MATCH($B35,MMWR_RATING_STATE_ROLLUP_PMC[MMWR_RATING_STATE_ROLLUP_PMC],0),MATCH(D$9,MMWR_RATING_STATE_ROLLUP_PMC[#Headers],0)),"ERROR"))</f>
        <v>75.358208955199999</v>
      </c>
      <c r="E35" s="156">
        <f>IF($B35=" ","",IFERROR(INDEX(MMWR_RATING_STATE_ROLLUP_PMC[],MATCH($B35,MMWR_RATING_STATE_ROLLUP_PMC[MMWR_RATING_STATE_ROLLUP_PMC],0),MATCH(E$9,MMWR_RATING_STATE_ROLLUP_PMC[#Headers],0))/$C35,"ERROR"))</f>
        <v>5.9701492537313432E-2</v>
      </c>
      <c r="F35" s="154">
        <f>IF($B35=" ","",IFERROR(INDEX(MMWR_RATING_STATE_ROLLUP_PMC[],MATCH($B35,MMWR_RATING_STATE_ROLLUP_PMC[MMWR_RATING_STATE_ROLLUP_PMC],0),MATCH(F$9,MMWR_RATING_STATE_ROLLUP_PMC[#Headers],0)),"ERROR"))</f>
        <v>14</v>
      </c>
      <c r="G35" s="154">
        <f>IF($B35=" ","",IFERROR(INDEX(MMWR_RATING_STATE_ROLLUP_PMC[],MATCH($B35,MMWR_RATING_STATE_ROLLUP_PMC[MMWR_RATING_STATE_ROLLUP_PMC],0),MATCH(G$9,MMWR_RATING_STATE_ROLLUP_PMC[#Headers],0)),"ERROR"))</f>
        <v>55</v>
      </c>
      <c r="H35" s="155">
        <f>IF($B35=" ","",IFERROR(INDEX(MMWR_RATING_STATE_ROLLUP_PMC[],MATCH($B35,MMWR_RATING_STATE_ROLLUP_PMC[MMWR_RATING_STATE_ROLLUP_PMC],0),MATCH(H$9,MMWR_RATING_STATE_ROLLUP_PMC[#Headers],0)),"ERROR"))</f>
        <v>133.92857142860001</v>
      </c>
      <c r="I35" s="155">
        <f>IF($B35=" ","",IFERROR(INDEX(MMWR_RATING_STATE_ROLLUP_PMC[],MATCH($B35,MMWR_RATING_STATE_ROLLUP_PMC[MMWR_RATING_STATE_ROLLUP_PMC],0),MATCH(I$9,MMWR_RATING_STATE_ROLLUP_PMC[#Headers],0)),"ERROR"))</f>
        <v>85</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61</v>
      </c>
      <c r="D36" s="155">
        <f>IF($B36=" ","",IFERROR(INDEX(MMWR_RATING_STATE_ROLLUP_PMC[],MATCH($B36,MMWR_RATING_STATE_ROLLUP_PMC[MMWR_RATING_STATE_ROLLUP_PMC],0),MATCH(D$9,MMWR_RATING_STATE_ROLLUP_PMC[#Headers],0)),"ERROR"))</f>
        <v>73.016393442600005</v>
      </c>
      <c r="E36" s="156">
        <f>IF($B36=" ","",IFERROR(INDEX(MMWR_RATING_STATE_ROLLUP_PMC[],MATCH($B36,MMWR_RATING_STATE_ROLLUP_PMC[MMWR_RATING_STATE_ROLLUP_PMC],0),MATCH(E$9,MMWR_RATING_STATE_ROLLUP_PMC[#Headers],0))/$C36,"ERROR"))</f>
        <v>4.9180327868852458E-2</v>
      </c>
      <c r="F36" s="154">
        <f>IF($B36=" ","",IFERROR(INDEX(MMWR_RATING_STATE_ROLLUP_PMC[],MATCH($B36,MMWR_RATING_STATE_ROLLUP_PMC[MMWR_RATING_STATE_ROLLUP_PMC],0),MATCH(F$9,MMWR_RATING_STATE_ROLLUP_PMC[#Headers],0)),"ERROR"))</f>
        <v>7</v>
      </c>
      <c r="G36" s="154">
        <f>IF($B36=" ","",IFERROR(INDEX(MMWR_RATING_STATE_ROLLUP_PMC[],MATCH($B36,MMWR_RATING_STATE_ROLLUP_PMC[MMWR_RATING_STATE_ROLLUP_PMC],0),MATCH(G$9,MMWR_RATING_STATE_ROLLUP_PMC[#Headers],0)),"ERROR"))</f>
        <v>58</v>
      </c>
      <c r="H36" s="155">
        <f>IF($B36=" ","",IFERROR(INDEX(MMWR_RATING_STATE_ROLLUP_PMC[],MATCH($B36,MMWR_RATING_STATE_ROLLUP_PMC[MMWR_RATING_STATE_ROLLUP_PMC],0),MATCH(H$9,MMWR_RATING_STATE_ROLLUP_PMC[#Headers],0)),"ERROR"))</f>
        <v>88.428571428599994</v>
      </c>
      <c r="I36" s="155">
        <f>IF($B36=" ","",IFERROR(INDEX(MMWR_RATING_STATE_ROLLUP_PMC[],MATCH($B36,MMWR_RATING_STATE_ROLLUP_PMC[MMWR_RATING_STATE_ROLLUP_PMC],0),MATCH(I$9,MMWR_RATING_STATE_ROLLUP_PMC[#Headers],0)),"ERROR"))</f>
        <v>87.120689655199996</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114</v>
      </c>
      <c r="D37" s="155">
        <f>IF($B37=" ","",IFERROR(INDEX(MMWR_RATING_STATE_ROLLUP_PMC[],MATCH($B37,MMWR_RATING_STATE_ROLLUP_PMC[MMWR_RATING_STATE_ROLLUP_PMC],0),MATCH(D$9,MMWR_RATING_STATE_ROLLUP_PMC[#Headers],0)),"ERROR"))</f>
        <v>68.780701754399999</v>
      </c>
      <c r="E37" s="156">
        <f>IF($B37=" ","",IFERROR(INDEX(MMWR_RATING_STATE_ROLLUP_PMC[],MATCH($B37,MMWR_RATING_STATE_ROLLUP_PMC[MMWR_RATING_STATE_ROLLUP_PMC],0),MATCH(E$9,MMWR_RATING_STATE_ROLLUP_PMC[#Headers],0))/$C37,"ERROR"))</f>
        <v>0.12280701754385964</v>
      </c>
      <c r="F37" s="154">
        <f>IF($B37=" ","",IFERROR(INDEX(MMWR_RATING_STATE_ROLLUP_PMC[],MATCH($B37,MMWR_RATING_STATE_ROLLUP_PMC[MMWR_RATING_STATE_ROLLUP_PMC],0),MATCH(F$9,MMWR_RATING_STATE_ROLLUP_PMC[#Headers],0)),"ERROR"))</f>
        <v>18</v>
      </c>
      <c r="G37" s="154">
        <f>IF($B37=" ","",IFERROR(INDEX(MMWR_RATING_STATE_ROLLUP_PMC[],MATCH($B37,MMWR_RATING_STATE_ROLLUP_PMC[MMWR_RATING_STATE_ROLLUP_PMC],0),MATCH(G$9,MMWR_RATING_STATE_ROLLUP_PMC[#Headers],0)),"ERROR"))</f>
        <v>111</v>
      </c>
      <c r="H37" s="155">
        <f>IF($B37=" ","",IFERROR(INDEX(MMWR_RATING_STATE_ROLLUP_PMC[],MATCH($B37,MMWR_RATING_STATE_ROLLUP_PMC[MMWR_RATING_STATE_ROLLUP_PMC],0),MATCH(H$9,MMWR_RATING_STATE_ROLLUP_PMC[#Headers],0)),"ERROR"))</f>
        <v>116.7222222222</v>
      </c>
      <c r="I37" s="155">
        <f>IF($B37=" ","",IFERROR(INDEX(MMWR_RATING_STATE_ROLLUP_PMC[],MATCH($B37,MMWR_RATING_STATE_ROLLUP_PMC[MMWR_RATING_STATE_ROLLUP_PMC],0),MATCH(I$9,MMWR_RATING_STATE_ROLLUP_PMC[#Headers],0)),"ERROR"))</f>
        <v>76.963963964000001</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479</v>
      </c>
      <c r="D38" s="155">
        <f>IF($B38=" ","",IFERROR(INDEX(MMWR_RATING_STATE_ROLLUP_PMC[],MATCH($B38,MMWR_RATING_STATE_ROLLUP_PMC[MMWR_RATING_STATE_ROLLUP_PMC],0),MATCH(D$9,MMWR_RATING_STATE_ROLLUP_PMC[#Headers],0)),"ERROR"))</f>
        <v>65.083507306900003</v>
      </c>
      <c r="E38" s="156">
        <f>IF($B38=" ","",IFERROR(INDEX(MMWR_RATING_STATE_ROLLUP_PMC[],MATCH($B38,MMWR_RATING_STATE_ROLLUP_PMC[MMWR_RATING_STATE_ROLLUP_PMC],0),MATCH(E$9,MMWR_RATING_STATE_ROLLUP_PMC[#Headers],0))/$C38,"ERROR"))</f>
        <v>7.9331941544885182E-2</v>
      </c>
      <c r="F38" s="154">
        <f>IF($B38=" ","",IFERROR(INDEX(MMWR_RATING_STATE_ROLLUP_PMC[],MATCH($B38,MMWR_RATING_STATE_ROLLUP_PMC[MMWR_RATING_STATE_ROLLUP_PMC],0),MATCH(F$9,MMWR_RATING_STATE_ROLLUP_PMC[#Headers],0)),"ERROR"))</f>
        <v>84</v>
      </c>
      <c r="G38" s="154">
        <f>IF($B38=" ","",IFERROR(INDEX(MMWR_RATING_STATE_ROLLUP_PMC[],MATCH($B38,MMWR_RATING_STATE_ROLLUP_PMC[MMWR_RATING_STATE_ROLLUP_PMC],0),MATCH(G$9,MMWR_RATING_STATE_ROLLUP_PMC[#Headers],0)),"ERROR"))</f>
        <v>357</v>
      </c>
      <c r="H38" s="155">
        <f>IF($B38=" ","",IFERROR(INDEX(MMWR_RATING_STATE_ROLLUP_PMC[],MATCH($B38,MMWR_RATING_STATE_ROLLUP_PMC[MMWR_RATING_STATE_ROLLUP_PMC],0),MATCH(H$9,MMWR_RATING_STATE_ROLLUP_PMC[#Headers],0)),"ERROR"))</f>
        <v>78.726190476200003</v>
      </c>
      <c r="I38" s="155">
        <f>IF($B38=" ","",IFERROR(INDEX(MMWR_RATING_STATE_ROLLUP_PMC[],MATCH($B38,MMWR_RATING_STATE_ROLLUP_PMC[MMWR_RATING_STATE_ROLLUP_PMC],0),MATCH(I$9,MMWR_RATING_STATE_ROLLUP_PMC[#Headers],0)),"ERROR"))</f>
        <v>82.319327731100003</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434</v>
      </c>
      <c r="D39" s="155">
        <f>IF($B39=" ","",IFERROR(INDEX(MMWR_RATING_STATE_ROLLUP_PMC[],MATCH($B39,MMWR_RATING_STATE_ROLLUP_PMC[MMWR_RATING_STATE_ROLLUP_PMC],0),MATCH(D$9,MMWR_RATING_STATE_ROLLUP_PMC[#Headers],0)),"ERROR"))</f>
        <v>64.573732718900004</v>
      </c>
      <c r="E39" s="156">
        <f>IF($B39=" ","",IFERROR(INDEX(MMWR_RATING_STATE_ROLLUP_PMC[],MATCH($B39,MMWR_RATING_STATE_ROLLUP_PMC[MMWR_RATING_STATE_ROLLUP_PMC],0),MATCH(E$9,MMWR_RATING_STATE_ROLLUP_PMC[#Headers],0))/$C39,"ERROR"))</f>
        <v>7.3732718894009217E-2</v>
      </c>
      <c r="F39" s="154">
        <f>IF($B39=" ","",IFERROR(INDEX(MMWR_RATING_STATE_ROLLUP_PMC[],MATCH($B39,MMWR_RATING_STATE_ROLLUP_PMC[MMWR_RATING_STATE_ROLLUP_PMC],0),MATCH(F$9,MMWR_RATING_STATE_ROLLUP_PMC[#Headers],0)),"ERROR"))</f>
        <v>68</v>
      </c>
      <c r="G39" s="154">
        <f>IF($B39=" ","",IFERROR(INDEX(MMWR_RATING_STATE_ROLLUP_PMC[],MATCH($B39,MMWR_RATING_STATE_ROLLUP_PMC[MMWR_RATING_STATE_ROLLUP_PMC],0),MATCH(G$9,MMWR_RATING_STATE_ROLLUP_PMC[#Headers],0)),"ERROR"))</f>
        <v>364</v>
      </c>
      <c r="H39" s="155">
        <f>IF($B39=" ","",IFERROR(INDEX(MMWR_RATING_STATE_ROLLUP_PMC[],MATCH($B39,MMWR_RATING_STATE_ROLLUP_PMC[MMWR_RATING_STATE_ROLLUP_PMC],0),MATCH(H$9,MMWR_RATING_STATE_ROLLUP_PMC[#Headers],0)),"ERROR"))</f>
        <v>72.147058823500004</v>
      </c>
      <c r="I39" s="155">
        <f>IF($B39=" ","",IFERROR(INDEX(MMWR_RATING_STATE_ROLLUP_PMC[],MATCH($B39,MMWR_RATING_STATE_ROLLUP_PMC[MMWR_RATING_STATE_ROLLUP_PMC],0),MATCH(I$9,MMWR_RATING_STATE_ROLLUP_PMC[#Headers],0)),"ERROR"))</f>
        <v>80.285714285699996</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89</v>
      </c>
      <c r="D40" s="155">
        <f>IF($B40=" ","",IFERROR(INDEX(MMWR_RATING_STATE_ROLLUP_PMC[],MATCH($B40,MMWR_RATING_STATE_ROLLUP_PMC[MMWR_RATING_STATE_ROLLUP_PMC],0),MATCH(D$9,MMWR_RATING_STATE_ROLLUP_PMC[#Headers],0)),"ERROR"))</f>
        <v>61.651685393299999</v>
      </c>
      <c r="E40" s="156">
        <f>IF($B40=" ","",IFERROR(INDEX(MMWR_RATING_STATE_ROLLUP_PMC[],MATCH($B40,MMWR_RATING_STATE_ROLLUP_PMC[MMWR_RATING_STATE_ROLLUP_PMC],0),MATCH(E$9,MMWR_RATING_STATE_ROLLUP_PMC[#Headers],0))/$C40,"ERROR"))</f>
        <v>4.49438202247191E-2</v>
      </c>
      <c r="F40" s="154">
        <f>IF($B40=" ","",IFERROR(INDEX(MMWR_RATING_STATE_ROLLUP_PMC[],MATCH($B40,MMWR_RATING_STATE_ROLLUP_PMC[MMWR_RATING_STATE_ROLLUP_PMC],0),MATCH(F$9,MMWR_RATING_STATE_ROLLUP_PMC[#Headers],0)),"ERROR"))</f>
        <v>15</v>
      </c>
      <c r="G40" s="154">
        <f>IF($B40=" ","",IFERROR(INDEX(MMWR_RATING_STATE_ROLLUP_PMC[],MATCH($B40,MMWR_RATING_STATE_ROLLUP_PMC[MMWR_RATING_STATE_ROLLUP_PMC],0),MATCH(G$9,MMWR_RATING_STATE_ROLLUP_PMC[#Headers],0)),"ERROR"))</f>
        <v>88</v>
      </c>
      <c r="H40" s="155">
        <f>IF($B40=" ","",IFERROR(INDEX(MMWR_RATING_STATE_ROLLUP_PMC[],MATCH($B40,MMWR_RATING_STATE_ROLLUP_PMC[MMWR_RATING_STATE_ROLLUP_PMC],0),MATCH(H$9,MMWR_RATING_STATE_ROLLUP_PMC[#Headers],0)),"ERROR"))</f>
        <v>104.53333333330001</v>
      </c>
      <c r="I40" s="155">
        <f>IF($B40=" ","",IFERROR(INDEX(MMWR_RATING_STATE_ROLLUP_PMC[],MATCH($B40,MMWR_RATING_STATE_ROLLUP_PMC[MMWR_RATING_STATE_ROLLUP_PMC],0),MATCH(I$9,MMWR_RATING_STATE_ROLLUP_PMC[#Headers],0)),"ERROR"))</f>
        <v>86.761363636400006</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455</v>
      </c>
      <c r="D41" s="155">
        <f>IF($B41=" ","",IFERROR(INDEX(MMWR_RATING_STATE_ROLLUP_PMC[],MATCH($B41,MMWR_RATING_STATE_ROLLUP_PMC[MMWR_RATING_STATE_ROLLUP_PMC],0),MATCH(D$9,MMWR_RATING_STATE_ROLLUP_PMC[#Headers],0)),"ERROR"))</f>
        <v>67.835164835200004</v>
      </c>
      <c r="E41" s="156">
        <f>IF($B41=" ","",IFERROR(INDEX(MMWR_RATING_STATE_ROLLUP_PMC[],MATCH($B41,MMWR_RATING_STATE_ROLLUP_PMC[MMWR_RATING_STATE_ROLLUP_PMC],0),MATCH(E$9,MMWR_RATING_STATE_ROLLUP_PMC[#Headers],0))/$C41,"ERROR"))</f>
        <v>9.6703296703296707E-2</v>
      </c>
      <c r="F41" s="154">
        <f>IF($B41=" ","",IFERROR(INDEX(MMWR_RATING_STATE_ROLLUP_PMC[],MATCH($B41,MMWR_RATING_STATE_ROLLUP_PMC[MMWR_RATING_STATE_ROLLUP_PMC],0),MATCH(F$9,MMWR_RATING_STATE_ROLLUP_PMC[#Headers],0)),"ERROR"))</f>
        <v>56</v>
      </c>
      <c r="G41" s="154">
        <f>IF($B41=" ","",IFERROR(INDEX(MMWR_RATING_STATE_ROLLUP_PMC[],MATCH($B41,MMWR_RATING_STATE_ROLLUP_PMC[MMWR_RATING_STATE_ROLLUP_PMC],0),MATCH(G$9,MMWR_RATING_STATE_ROLLUP_PMC[#Headers],0)),"ERROR"))</f>
        <v>391</v>
      </c>
      <c r="H41" s="155">
        <f>IF($B41=" ","",IFERROR(INDEX(MMWR_RATING_STATE_ROLLUP_PMC[],MATCH($B41,MMWR_RATING_STATE_ROLLUP_PMC[MMWR_RATING_STATE_ROLLUP_PMC],0),MATCH(H$9,MMWR_RATING_STATE_ROLLUP_PMC[#Headers],0)),"ERROR"))</f>
        <v>85.142857142899999</v>
      </c>
      <c r="I41" s="155">
        <f>IF($B41=" ","",IFERROR(INDEX(MMWR_RATING_STATE_ROLLUP_PMC[],MATCH($B41,MMWR_RATING_STATE_ROLLUP_PMC[MMWR_RATING_STATE_ROLLUP_PMC],0),MATCH(I$9,MMWR_RATING_STATE_ROLLUP_PMC[#Headers],0)),"ERROR"))</f>
        <v>77.601023017900005</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1251</v>
      </c>
      <c r="D42" s="155">
        <f>IF($B42=" ","",IFERROR(INDEX(MMWR_RATING_STATE_ROLLUP_PMC[],MATCH($B42,MMWR_RATING_STATE_ROLLUP_PMC[MMWR_RATING_STATE_ROLLUP_PMC],0),MATCH(D$9,MMWR_RATING_STATE_ROLLUP_PMC[#Headers],0)),"ERROR"))</f>
        <v>66.737809752199993</v>
      </c>
      <c r="E42" s="156">
        <f>IF($B42=" ","",IFERROR(INDEX(MMWR_RATING_STATE_ROLLUP_PMC[],MATCH($B42,MMWR_RATING_STATE_ROLLUP_PMC[MMWR_RATING_STATE_ROLLUP_PMC],0),MATCH(E$9,MMWR_RATING_STATE_ROLLUP_PMC[#Headers],0))/$C42,"ERROR"))</f>
        <v>8.5531574740207839E-2</v>
      </c>
      <c r="F42" s="154">
        <f>IF($B42=" ","",IFERROR(INDEX(MMWR_RATING_STATE_ROLLUP_PMC[],MATCH($B42,MMWR_RATING_STATE_ROLLUP_PMC[MMWR_RATING_STATE_ROLLUP_PMC],0),MATCH(F$9,MMWR_RATING_STATE_ROLLUP_PMC[#Headers],0)),"ERROR"))</f>
        <v>172</v>
      </c>
      <c r="G42" s="154">
        <f>IF($B42=" ","",IFERROR(INDEX(MMWR_RATING_STATE_ROLLUP_PMC[],MATCH($B42,MMWR_RATING_STATE_ROLLUP_PMC[MMWR_RATING_STATE_ROLLUP_PMC],0),MATCH(G$9,MMWR_RATING_STATE_ROLLUP_PMC[#Headers],0)),"ERROR"))</f>
        <v>957</v>
      </c>
      <c r="H42" s="155">
        <f>IF($B42=" ","",IFERROR(INDEX(MMWR_RATING_STATE_ROLLUP_PMC[],MATCH($B42,MMWR_RATING_STATE_ROLLUP_PMC[MMWR_RATING_STATE_ROLLUP_PMC],0),MATCH(H$9,MMWR_RATING_STATE_ROLLUP_PMC[#Headers],0)),"ERROR"))</f>
        <v>90</v>
      </c>
      <c r="I42" s="155">
        <f>IF($B42=" ","",IFERROR(INDEX(MMWR_RATING_STATE_ROLLUP_PMC[],MATCH($B42,MMWR_RATING_STATE_ROLLUP_PMC[MMWR_RATING_STATE_ROLLUP_PMC],0),MATCH(I$9,MMWR_RATING_STATE_ROLLUP_PMC[#Headers],0)),"ERROR"))</f>
        <v>81.292580982199993</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1179</v>
      </c>
      <c r="D43" s="155">
        <f>IF($B43=" ","",IFERROR(INDEX(MMWR_RATING_STATE_ROLLUP_PMC[],MATCH($B43,MMWR_RATING_STATE_ROLLUP_PMC[MMWR_RATING_STATE_ROLLUP_PMC],0),MATCH(D$9,MMWR_RATING_STATE_ROLLUP_PMC[#Headers],0)),"ERROR"))</f>
        <v>66.065309584399998</v>
      </c>
      <c r="E43" s="156">
        <f>IF($B43=" ","",IFERROR(INDEX(MMWR_RATING_STATE_ROLLUP_PMC[],MATCH($B43,MMWR_RATING_STATE_ROLLUP_PMC[MMWR_RATING_STATE_ROLLUP_PMC],0),MATCH(E$9,MMWR_RATING_STATE_ROLLUP_PMC[#Headers],0))/$C43,"ERROR"))</f>
        <v>0.10093299406276506</v>
      </c>
      <c r="F43" s="154">
        <f>IF($B43=" ","",IFERROR(INDEX(MMWR_RATING_STATE_ROLLUP_PMC[],MATCH($B43,MMWR_RATING_STATE_ROLLUP_PMC[MMWR_RATING_STATE_ROLLUP_PMC],0),MATCH(F$9,MMWR_RATING_STATE_ROLLUP_PMC[#Headers],0)),"ERROR"))</f>
        <v>172</v>
      </c>
      <c r="G43" s="154">
        <f>IF($B43=" ","",IFERROR(INDEX(MMWR_RATING_STATE_ROLLUP_PMC[],MATCH($B43,MMWR_RATING_STATE_ROLLUP_PMC[MMWR_RATING_STATE_ROLLUP_PMC],0),MATCH(G$9,MMWR_RATING_STATE_ROLLUP_PMC[#Headers],0)),"ERROR"))</f>
        <v>933</v>
      </c>
      <c r="H43" s="155">
        <f>IF($B43=" ","",IFERROR(INDEX(MMWR_RATING_STATE_ROLLUP_PMC[],MATCH($B43,MMWR_RATING_STATE_ROLLUP_PMC[MMWR_RATING_STATE_ROLLUP_PMC],0),MATCH(H$9,MMWR_RATING_STATE_ROLLUP_PMC[#Headers],0)),"ERROR"))</f>
        <v>93.156976744199994</v>
      </c>
      <c r="I43" s="155">
        <f>IF($B43=" ","",IFERROR(INDEX(MMWR_RATING_STATE_ROLLUP_PMC[],MATCH($B43,MMWR_RATING_STATE_ROLLUP_PMC[MMWR_RATING_STATE_ROLLUP_PMC],0),MATCH(I$9,MMWR_RATING_STATE_ROLLUP_PMC[#Headers],0)),"ERROR"))</f>
        <v>81.674169346200003</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1508</v>
      </c>
      <c r="D44" s="155">
        <f>IF($B44=" ","",IFERROR(INDEX(MMWR_RATING_STATE_ROLLUP_PMC[],MATCH($B44,MMWR_RATING_STATE_ROLLUP_PMC[MMWR_RATING_STATE_ROLLUP_PMC],0),MATCH(D$9,MMWR_RATING_STATE_ROLLUP_PMC[#Headers],0)),"ERROR"))</f>
        <v>65.431034482800001</v>
      </c>
      <c r="E44" s="156">
        <f>IF($B44=" ","",IFERROR(INDEX(MMWR_RATING_STATE_ROLLUP_PMC[],MATCH($B44,MMWR_RATING_STATE_ROLLUP_PMC[MMWR_RATING_STATE_ROLLUP_PMC],0),MATCH(E$9,MMWR_RATING_STATE_ROLLUP_PMC[#Headers],0))/$C44,"ERROR"))</f>
        <v>9.1511936339522551E-2</v>
      </c>
      <c r="F44" s="154">
        <f>IF($B44=" ","",IFERROR(INDEX(MMWR_RATING_STATE_ROLLUP_PMC[],MATCH($B44,MMWR_RATING_STATE_ROLLUP_PMC[MMWR_RATING_STATE_ROLLUP_PMC],0),MATCH(F$9,MMWR_RATING_STATE_ROLLUP_PMC[#Headers],0)),"ERROR"))</f>
        <v>203</v>
      </c>
      <c r="G44" s="154">
        <f>IF($B44=" ","",IFERROR(INDEX(MMWR_RATING_STATE_ROLLUP_PMC[],MATCH($B44,MMWR_RATING_STATE_ROLLUP_PMC[MMWR_RATING_STATE_ROLLUP_PMC],0),MATCH(G$9,MMWR_RATING_STATE_ROLLUP_PMC[#Headers],0)),"ERROR"))</f>
        <v>1131</v>
      </c>
      <c r="H44" s="155">
        <f>IF($B44=" ","",IFERROR(INDEX(MMWR_RATING_STATE_ROLLUP_PMC[],MATCH($B44,MMWR_RATING_STATE_ROLLUP_PMC[MMWR_RATING_STATE_ROLLUP_PMC],0),MATCH(H$9,MMWR_RATING_STATE_ROLLUP_PMC[#Headers],0)),"ERROR"))</f>
        <v>76.679802955699998</v>
      </c>
      <c r="I44" s="155">
        <f>IF($B44=" ","",IFERROR(INDEX(MMWR_RATING_STATE_ROLLUP_PMC[],MATCH($B44,MMWR_RATING_STATE_ROLLUP_PMC[MMWR_RATING_STATE_ROLLUP_PMC],0),MATCH(I$9,MMWR_RATING_STATE_ROLLUP_PMC[#Headers],0)),"ERROR"))</f>
        <v>81.244916003499995</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99</v>
      </c>
      <c r="D45" s="155">
        <f>IF($B45=" ","",IFERROR(INDEX(MMWR_RATING_STATE_ROLLUP_PMC[],MATCH($B45,MMWR_RATING_STATE_ROLLUP_PMC[MMWR_RATING_STATE_ROLLUP_PMC],0),MATCH(D$9,MMWR_RATING_STATE_ROLLUP_PMC[#Headers],0)),"ERROR"))</f>
        <v>77.535353535400006</v>
      </c>
      <c r="E45" s="156">
        <f>IF($B45=" ","",IFERROR(INDEX(MMWR_RATING_STATE_ROLLUP_PMC[],MATCH($B45,MMWR_RATING_STATE_ROLLUP_PMC[MMWR_RATING_STATE_ROLLUP_PMC],0),MATCH(E$9,MMWR_RATING_STATE_ROLLUP_PMC[#Headers],0))/$C45,"ERROR"))</f>
        <v>0.16161616161616163</v>
      </c>
      <c r="F45" s="154">
        <f>IF($B45=" ","",IFERROR(INDEX(MMWR_RATING_STATE_ROLLUP_PMC[],MATCH($B45,MMWR_RATING_STATE_ROLLUP_PMC[MMWR_RATING_STATE_ROLLUP_PMC],0),MATCH(F$9,MMWR_RATING_STATE_ROLLUP_PMC[#Headers],0)),"ERROR"))</f>
        <v>19</v>
      </c>
      <c r="G45" s="154">
        <f>IF($B45=" ","",IFERROR(INDEX(MMWR_RATING_STATE_ROLLUP_PMC[],MATCH($B45,MMWR_RATING_STATE_ROLLUP_PMC[MMWR_RATING_STATE_ROLLUP_PMC],0),MATCH(G$9,MMWR_RATING_STATE_ROLLUP_PMC[#Headers],0)),"ERROR"))</f>
        <v>106</v>
      </c>
      <c r="H45" s="155">
        <f>IF($B45=" ","",IFERROR(INDEX(MMWR_RATING_STATE_ROLLUP_PMC[],MATCH($B45,MMWR_RATING_STATE_ROLLUP_PMC[MMWR_RATING_STATE_ROLLUP_PMC],0),MATCH(H$9,MMWR_RATING_STATE_ROLLUP_PMC[#Headers],0)),"ERROR"))</f>
        <v>90.210526315799996</v>
      </c>
      <c r="I45" s="155">
        <f>IF($B45=" ","",IFERROR(INDEX(MMWR_RATING_STATE_ROLLUP_PMC[],MATCH($B45,MMWR_RATING_STATE_ROLLUP_PMC[MMWR_RATING_STATE_ROLLUP_PMC],0),MATCH(I$9,MMWR_RATING_STATE_ROLLUP_PMC[#Headers],0)),"ERROR"))</f>
        <v>85.226415094299995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39</v>
      </c>
      <c r="D46" s="155">
        <f>IF($B46=" ","",IFERROR(INDEX(MMWR_RATING_STATE_ROLLUP_PMC[],MATCH($B46,MMWR_RATING_STATE_ROLLUP_PMC[MMWR_RATING_STATE_ROLLUP_PMC],0),MATCH(D$9,MMWR_RATING_STATE_ROLLUP_PMC[#Headers],0)),"ERROR"))</f>
        <v>67.410256410299993</v>
      </c>
      <c r="E46" s="156">
        <f>IF($B46=" ","",IFERROR(INDEX(MMWR_RATING_STATE_ROLLUP_PMC[],MATCH($B46,MMWR_RATING_STATE_ROLLUP_PMC[MMWR_RATING_STATE_ROLLUP_PMC],0),MATCH(E$9,MMWR_RATING_STATE_ROLLUP_PMC[#Headers],0))/$C46,"ERROR"))</f>
        <v>0.10256410256410256</v>
      </c>
      <c r="F46" s="154">
        <f>IF($B46=" ","",IFERROR(INDEX(MMWR_RATING_STATE_ROLLUP_PMC[],MATCH($B46,MMWR_RATING_STATE_ROLLUP_PMC[MMWR_RATING_STATE_ROLLUP_PMC],0),MATCH(F$9,MMWR_RATING_STATE_ROLLUP_PMC[#Headers],0)),"ERROR"))</f>
        <v>3</v>
      </c>
      <c r="G46" s="154">
        <f>IF($B46=" ","",IFERROR(INDEX(MMWR_RATING_STATE_ROLLUP_PMC[],MATCH($B46,MMWR_RATING_STATE_ROLLUP_PMC[MMWR_RATING_STATE_ROLLUP_PMC],0),MATCH(G$9,MMWR_RATING_STATE_ROLLUP_PMC[#Headers],0)),"ERROR"))</f>
        <v>23</v>
      </c>
      <c r="H46" s="155">
        <f>IF($B46=" ","",IFERROR(INDEX(MMWR_RATING_STATE_ROLLUP_PMC[],MATCH($B46,MMWR_RATING_STATE_ROLLUP_PMC[MMWR_RATING_STATE_ROLLUP_PMC],0),MATCH(H$9,MMWR_RATING_STATE_ROLLUP_PMC[#Headers],0)),"ERROR"))</f>
        <v>65.333333333300004</v>
      </c>
      <c r="I46" s="155">
        <f>IF($B46=" ","",IFERROR(INDEX(MMWR_RATING_STATE_ROLLUP_PMC[],MATCH($B46,MMWR_RATING_STATE_ROLLUP_PMC[MMWR_RATING_STATE_ROLLUP_PMC],0),MATCH(I$9,MMWR_RATING_STATE_ROLLUP_PMC[#Headers],0)),"ERROR"))</f>
        <v>87.565217391299996</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740</v>
      </c>
      <c r="D47" s="155">
        <f>IF($B47=" ","",IFERROR(INDEX(MMWR_RATING_STATE_ROLLUP_PMC[],MATCH($B47,MMWR_RATING_STATE_ROLLUP_PMC[MMWR_RATING_STATE_ROLLUP_PMC],0),MATCH(D$9,MMWR_RATING_STATE_ROLLUP_PMC[#Headers],0)),"ERROR"))</f>
        <v>69.660810810800001</v>
      </c>
      <c r="E47" s="156">
        <f>IF($B47=" ","",IFERROR(INDEX(MMWR_RATING_STATE_ROLLUP_PMC[],MATCH($B47,MMWR_RATING_STATE_ROLLUP_PMC[MMWR_RATING_STATE_ROLLUP_PMC],0),MATCH(E$9,MMWR_RATING_STATE_ROLLUP_PMC[#Headers],0))/$C47,"ERROR"))</f>
        <v>0.11756756756756757</v>
      </c>
      <c r="F47" s="154">
        <f>IF($B47=" ","",IFERROR(INDEX(MMWR_RATING_STATE_ROLLUP_PMC[],MATCH($B47,MMWR_RATING_STATE_ROLLUP_PMC[MMWR_RATING_STATE_ROLLUP_PMC],0),MATCH(F$9,MMWR_RATING_STATE_ROLLUP_PMC[#Headers],0)),"ERROR"))</f>
        <v>102</v>
      </c>
      <c r="G47" s="154">
        <f>IF($B47=" ","",IFERROR(INDEX(MMWR_RATING_STATE_ROLLUP_PMC[],MATCH($B47,MMWR_RATING_STATE_ROLLUP_PMC[MMWR_RATING_STATE_ROLLUP_PMC],0),MATCH(G$9,MMWR_RATING_STATE_ROLLUP_PMC[#Headers],0)),"ERROR"))</f>
        <v>627</v>
      </c>
      <c r="H47" s="155">
        <f>IF($B47=" ","",IFERROR(INDEX(MMWR_RATING_STATE_ROLLUP_PMC[],MATCH($B47,MMWR_RATING_STATE_ROLLUP_PMC[MMWR_RATING_STATE_ROLLUP_PMC],0),MATCH(H$9,MMWR_RATING_STATE_ROLLUP_PMC[#Headers],0)),"ERROR"))</f>
        <v>91.578431372500006</v>
      </c>
      <c r="I47" s="155">
        <f>IF($B47=" ","",IFERROR(INDEX(MMWR_RATING_STATE_ROLLUP_PMC[],MATCH($B47,MMWR_RATING_STATE_ROLLUP_PMC[MMWR_RATING_STATE_ROLLUP_PMC],0),MATCH(I$9,MMWR_RATING_STATE_ROLLUP_PMC[#Headers],0)),"ERROR"))</f>
        <v>90.457735247200006</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239</v>
      </c>
      <c r="D48" s="155">
        <f>IF($B48=" ","",IFERROR(INDEX(MMWR_RATING_STATE_ROLLUP_PMC[],MATCH($B48,MMWR_RATING_STATE_ROLLUP_PMC[MMWR_RATING_STATE_ROLLUP_PMC],0),MATCH(D$9,MMWR_RATING_STATE_ROLLUP_PMC[#Headers],0)),"ERROR"))</f>
        <v>75.535564853599993</v>
      </c>
      <c r="E48" s="156">
        <f>IF($B48=" ","",IFERROR(INDEX(MMWR_RATING_STATE_ROLLUP_PMC[],MATCH($B48,MMWR_RATING_STATE_ROLLUP_PMC[MMWR_RATING_STATE_ROLLUP_PMC],0),MATCH(E$9,MMWR_RATING_STATE_ROLLUP_PMC[#Headers],0))/$C48,"ERROR"))</f>
        <v>0.10460251046025104</v>
      </c>
      <c r="F48" s="154">
        <f>IF($B48=" ","",IFERROR(INDEX(MMWR_RATING_STATE_ROLLUP_PMC[],MATCH($B48,MMWR_RATING_STATE_ROLLUP_PMC[MMWR_RATING_STATE_ROLLUP_PMC],0),MATCH(F$9,MMWR_RATING_STATE_ROLLUP_PMC[#Headers],0)),"ERROR"))</f>
        <v>39</v>
      </c>
      <c r="G48" s="154">
        <f>IF($B48=" ","",IFERROR(INDEX(MMWR_RATING_STATE_ROLLUP_PMC[],MATCH($B48,MMWR_RATING_STATE_ROLLUP_PMC[MMWR_RATING_STATE_ROLLUP_PMC],0),MATCH(G$9,MMWR_RATING_STATE_ROLLUP_PMC[#Headers],0)),"ERROR"))</f>
        <v>210</v>
      </c>
      <c r="H48" s="155">
        <f>IF($B48=" ","",IFERROR(INDEX(MMWR_RATING_STATE_ROLLUP_PMC[],MATCH($B48,MMWR_RATING_STATE_ROLLUP_PMC[MMWR_RATING_STATE_ROLLUP_PMC],0),MATCH(H$9,MMWR_RATING_STATE_ROLLUP_PMC[#Headers],0)),"ERROR"))</f>
        <v>82.461538461499998</v>
      </c>
      <c r="I48" s="155">
        <f>IF($B48=" ","",IFERROR(INDEX(MMWR_RATING_STATE_ROLLUP_PMC[],MATCH($B48,MMWR_RATING_STATE_ROLLUP_PMC[MMWR_RATING_STATE_ROLLUP_PMC],0),MATCH(I$9,MMWR_RATING_STATE_ROLLUP_PMC[#Headers],0)),"ERROR"))</f>
        <v>82.1047619048</v>
      </c>
      <c r="J48" s="42"/>
      <c r="K48" s="42"/>
      <c r="L48" s="42"/>
      <c r="M48" s="42"/>
      <c r="N48" s="28"/>
    </row>
    <row r="49" spans="1:14" x14ac:dyDescent="0.2">
      <c r="A49" s="25"/>
      <c r="B49" s="342" t="s">
        <v>1047</v>
      </c>
      <c r="C49" s="343"/>
      <c r="D49" s="343"/>
      <c r="E49" s="343"/>
      <c r="F49" s="343"/>
      <c r="G49" s="343"/>
      <c r="H49" s="343"/>
      <c r="I49" s="343"/>
      <c r="J49" s="343"/>
      <c r="K49" s="343"/>
      <c r="L49" s="343"/>
      <c r="M49" s="393"/>
      <c r="N49" s="28"/>
    </row>
    <row r="50" spans="1:14" x14ac:dyDescent="0.2">
      <c r="A50" s="25"/>
      <c r="B50" s="41" t="s">
        <v>1046</v>
      </c>
      <c r="C50" s="154">
        <f>IF($B50=" ","",IFERROR(INDEX(MMWR_RATING_STATE_ROLLUP_QST[],MATCH($B50,MMWR_RATING_STATE_ROLLUP_QST[MMWR_RATING_STATE_ROLLUP_QST],0),MATCH(C$9,MMWR_RATING_STATE_ROLLUP_QST[#Headers],0)),"ERROR"))</f>
        <v>10722</v>
      </c>
      <c r="D50" s="155">
        <f>IF($B50=" ","",IFERROR(INDEX(MMWR_RATING_STATE_ROLLUP_QST[],MATCH($B50,MMWR_RATING_STATE_ROLLUP_QST[MMWR_RATING_STATE_ROLLUP_QST],0),MATCH(D$9,MMWR_RATING_STATE_ROLLUP_QST[#Headers],0)),"ERROR"))</f>
        <v>80.201641484800007</v>
      </c>
      <c r="E50" s="156">
        <f>IF($B50=" ","",IFERROR(INDEX(MMWR_RATING_STATE_ROLLUP_QST[],MATCH($B50,MMWR_RATING_STATE_ROLLUP_QST[MMWR_RATING_STATE_ROLLUP_QST],0),MATCH(E$9,MMWR_RATING_STATE_ROLLUP_QST[#Headers],0))/$C50,"ERROR"))</f>
        <v>0.18392091027793322</v>
      </c>
      <c r="F50" s="154">
        <f>IF($B50=" ","",IFERROR(INDEX(MMWR_RATING_STATE_ROLLUP_QST[],MATCH($B50,MMWR_RATING_STATE_ROLLUP_QST[MMWR_RATING_STATE_ROLLUP_QST],0),MATCH(F$9,MMWR_RATING_STATE_ROLLUP_QST[#Headers],0)),"ERROR"))</f>
        <v>745</v>
      </c>
      <c r="G50" s="154">
        <f>IF($B50=" ","",IFERROR(INDEX(MMWR_RATING_STATE_ROLLUP_QST[],MATCH($B50,MMWR_RATING_STATE_ROLLUP_QST[MMWR_RATING_STATE_ROLLUP_QST],0),MATCH(G$9,MMWR_RATING_STATE_ROLLUP_QST[#Headers],0)),"ERROR"))</f>
        <v>3751</v>
      </c>
      <c r="H50" s="155">
        <f>IF($B50=" ","",IFERROR(INDEX(MMWR_RATING_STATE_ROLLUP_QST[],MATCH($B50,MMWR_RATING_STATE_ROLLUP_QST[MMWR_RATING_STATE_ROLLUP_QST],0),MATCH(H$9,MMWR_RATING_STATE_ROLLUP_QST[#Headers],0)),"ERROR"))</f>
        <v>143.43221476510001</v>
      </c>
      <c r="I50" s="155">
        <f>IF($B50=" ","",IFERROR(INDEX(MMWR_RATING_STATE_ROLLUP_QST[],MATCH($B50,MMWR_RATING_STATE_ROLLUP_QST[MMWR_RATING_STATE_ROLLUP_QST],0),MATCH(I$9,MMWR_RATING_STATE_ROLLUP_QST[#Headers],0)),"ERROR"))</f>
        <v>137.26952812580001</v>
      </c>
      <c r="J50" s="42"/>
      <c r="K50" s="42"/>
      <c r="L50" s="42"/>
      <c r="M50" s="42"/>
      <c r="N50" s="28"/>
    </row>
    <row r="51" spans="1:14" x14ac:dyDescent="0.2">
      <c r="A51" s="25"/>
      <c r="B51" s="249" t="str">
        <f>INDEX(DISTRICT_STATES[],MATCH($B$5,DISTRICT_RO[District],0),1)</f>
        <v>North Atlantic</v>
      </c>
      <c r="C51" s="154">
        <f>IF($B51=" ","",IFERROR(INDEX(MMWR_RATING_STATE_ROLLUP_QST[],MATCH($B51,MMWR_RATING_STATE_ROLLUP_QST[MMWR_RATING_STATE_ROLLUP_QST],0),MATCH(C$9,MMWR_RATING_STATE_ROLLUP_QST[#Headers],0)),"ERROR"))</f>
        <v>2554</v>
      </c>
      <c r="D51" s="155">
        <f>IF($B51=" ","",IFERROR(INDEX(MMWR_RATING_STATE_ROLLUP_QST[],MATCH($B51,MMWR_RATING_STATE_ROLLUP_QST[MMWR_RATING_STATE_ROLLUP_QST],0),MATCH(D$9,MMWR_RATING_STATE_ROLLUP_QST[#Headers],0)),"ERROR"))</f>
        <v>83.490211432999999</v>
      </c>
      <c r="E51" s="156">
        <f>IF($B51=" ","",IFERROR(INDEX(MMWR_RATING_STATE_ROLLUP_QST[],MATCH($B51,MMWR_RATING_STATE_ROLLUP_QST[MMWR_RATING_STATE_ROLLUP_QST],0),MATCH(E$9,MMWR_RATING_STATE_ROLLUP_QST[#Headers],0))/$C51,"ERROR"))</f>
        <v>0.21730618637431481</v>
      </c>
      <c r="F51" s="154">
        <f>IF($B51=" ","",IFERROR(INDEX(MMWR_RATING_STATE_ROLLUP_QST[],MATCH($B51,MMWR_RATING_STATE_ROLLUP_QST[MMWR_RATING_STATE_ROLLUP_QST],0),MATCH(F$9,MMWR_RATING_STATE_ROLLUP_QST[#Headers],0)),"ERROR"))</f>
        <v>165</v>
      </c>
      <c r="G51" s="154">
        <f>IF($B51=" ","",IFERROR(INDEX(MMWR_RATING_STATE_ROLLUP_QST[],MATCH($B51,MMWR_RATING_STATE_ROLLUP_QST[MMWR_RATING_STATE_ROLLUP_QST],0),MATCH(G$9,MMWR_RATING_STATE_ROLLUP_QST[#Headers],0)),"ERROR"))</f>
        <v>832</v>
      </c>
      <c r="H51" s="155">
        <f>IF($B51=" ","",IFERROR(INDEX(MMWR_RATING_STATE_ROLLUP_QST[],MATCH($B51,MMWR_RATING_STATE_ROLLUP_QST[MMWR_RATING_STATE_ROLLUP_QST],0),MATCH(H$9,MMWR_RATING_STATE_ROLLUP_QST[#Headers],0)),"ERROR"))</f>
        <v>153.51515151519999</v>
      </c>
      <c r="I51" s="155">
        <f>IF($B51=" ","",IFERROR(INDEX(MMWR_RATING_STATE_ROLLUP_QST[],MATCH($B51,MMWR_RATING_STATE_ROLLUP_QST[MMWR_RATING_STATE_ROLLUP_QST],0),MATCH(I$9,MMWR_RATING_STATE_ROLLUP_QST[#Headers],0)),"ERROR"))</f>
        <v>144.67067307689999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55</v>
      </c>
      <c r="D52" s="155">
        <f>IF($B52=" ","",IFERROR(INDEX(MMWR_RATING_STATE_ROLLUP_QST[],MATCH($B52,MMWR_RATING_STATE_ROLLUP_QST[MMWR_RATING_STATE_ROLLUP_QST],0),MATCH(D$9,MMWR_RATING_STATE_ROLLUP_QST[#Headers],0)),"ERROR"))</f>
        <v>89.927272727299993</v>
      </c>
      <c r="E52" s="156">
        <f>IF($B52=" ","",IFERROR(INDEX(MMWR_RATING_STATE_ROLLUP_QST[],MATCH($B52,MMWR_RATING_STATE_ROLLUP_QST[MMWR_RATING_STATE_ROLLUP_QST],0),MATCH(E$9,MMWR_RATING_STATE_ROLLUP_QST[#Headers],0))/$C52,"ERROR"))</f>
        <v>0.23636363636363636</v>
      </c>
      <c r="F52" s="154">
        <f>IF($B52=" ","",IFERROR(INDEX(MMWR_RATING_STATE_ROLLUP_QST[],MATCH($B52,MMWR_RATING_STATE_ROLLUP_QST[MMWR_RATING_STATE_ROLLUP_QST],0),MATCH(F$9,MMWR_RATING_STATE_ROLLUP_QST[#Headers],0)),"ERROR"))</f>
        <v>6</v>
      </c>
      <c r="G52" s="154">
        <f>IF($B52=" ","",IFERROR(INDEX(MMWR_RATING_STATE_ROLLUP_QST[],MATCH($B52,MMWR_RATING_STATE_ROLLUP_QST[MMWR_RATING_STATE_ROLLUP_QST],0),MATCH(G$9,MMWR_RATING_STATE_ROLLUP_QST[#Headers],0)),"ERROR"))</f>
        <v>25</v>
      </c>
      <c r="H52" s="155">
        <f>IF($B52=" ","",IFERROR(INDEX(MMWR_RATING_STATE_ROLLUP_QST[],MATCH($B52,MMWR_RATING_STATE_ROLLUP_QST[MMWR_RATING_STATE_ROLLUP_QST],0),MATCH(H$9,MMWR_RATING_STATE_ROLLUP_QST[#Headers],0)),"ERROR"))</f>
        <v>124.1666666667</v>
      </c>
      <c r="I52" s="155">
        <f>IF($B52=" ","",IFERROR(INDEX(MMWR_RATING_STATE_ROLLUP_QST[],MATCH($B52,MMWR_RATING_STATE_ROLLUP_QST[MMWR_RATING_STATE_ROLLUP_QST],0),MATCH(I$9,MMWR_RATING_STATE_ROLLUP_QST[#Headers],0)),"ERROR"))</f>
        <v>121.72</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21</v>
      </c>
      <c r="D53" s="155">
        <f>IF($B53=" ","",IFERROR(INDEX(MMWR_RATING_STATE_ROLLUP_QST[],MATCH($B53,MMWR_RATING_STATE_ROLLUP_QST[MMWR_RATING_STATE_ROLLUP_QST],0),MATCH(D$9,MMWR_RATING_STATE_ROLLUP_QST[#Headers],0)),"ERROR"))</f>
        <v>80</v>
      </c>
      <c r="E53" s="156">
        <f>IF($B53=" ","",IFERROR(INDEX(MMWR_RATING_STATE_ROLLUP_QST[],MATCH($B53,MMWR_RATING_STATE_ROLLUP_QST[MMWR_RATING_STATE_ROLLUP_QST],0),MATCH(E$9,MMWR_RATING_STATE_ROLLUP_QST[#Headers],0))/$C53,"ERROR"))</f>
        <v>0.19047619047619047</v>
      </c>
      <c r="F53" s="154">
        <f>IF($B53=" ","",IFERROR(INDEX(MMWR_RATING_STATE_ROLLUP_QST[],MATCH($B53,MMWR_RATING_STATE_ROLLUP_QST[MMWR_RATING_STATE_ROLLUP_QST],0),MATCH(F$9,MMWR_RATING_STATE_ROLLUP_QST[#Headers],0)),"ERROR"))</f>
        <v>1</v>
      </c>
      <c r="G53" s="154">
        <f>IF($B53=" ","",IFERROR(INDEX(MMWR_RATING_STATE_ROLLUP_QST[],MATCH($B53,MMWR_RATING_STATE_ROLLUP_QST[MMWR_RATING_STATE_ROLLUP_QST],0),MATCH(G$9,MMWR_RATING_STATE_ROLLUP_QST[#Headers],0)),"ERROR"))</f>
        <v>9</v>
      </c>
      <c r="H53" s="155">
        <f>IF($B53=" ","",IFERROR(INDEX(MMWR_RATING_STATE_ROLLUP_QST[],MATCH($B53,MMWR_RATING_STATE_ROLLUP_QST[MMWR_RATING_STATE_ROLLUP_QST],0),MATCH(H$9,MMWR_RATING_STATE_ROLLUP_QST[#Headers],0)),"ERROR"))</f>
        <v>102</v>
      </c>
      <c r="I53" s="155">
        <f>IF($B53=" ","",IFERROR(INDEX(MMWR_RATING_STATE_ROLLUP_QST[],MATCH($B53,MMWR_RATING_STATE_ROLLUP_QST[MMWR_RATING_STATE_ROLLUP_QST],0),MATCH(I$9,MMWR_RATING_STATE_ROLLUP_QST[#Headers],0)),"ERROR"))</f>
        <v>144.2222222222</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24</v>
      </c>
      <c r="D54" s="155">
        <f>IF($B54=" ","",IFERROR(INDEX(MMWR_RATING_STATE_ROLLUP_QST[],MATCH($B54,MMWR_RATING_STATE_ROLLUP_QST[MMWR_RATING_STATE_ROLLUP_QST],0),MATCH(D$9,MMWR_RATING_STATE_ROLLUP_QST[#Headers],0)),"ERROR"))</f>
        <v>77.791666666699996</v>
      </c>
      <c r="E54" s="156">
        <f>IF($B54=" ","",IFERROR(INDEX(MMWR_RATING_STATE_ROLLUP_QST[],MATCH($B54,MMWR_RATING_STATE_ROLLUP_QST[MMWR_RATING_STATE_ROLLUP_QST],0),MATCH(E$9,MMWR_RATING_STATE_ROLLUP_QST[#Headers],0))/$C54,"ERROR"))</f>
        <v>0.25</v>
      </c>
      <c r="F54" s="154">
        <f>IF($B54=" ","",IFERROR(INDEX(MMWR_RATING_STATE_ROLLUP_QST[],MATCH($B54,MMWR_RATING_STATE_ROLLUP_QST[MMWR_RATING_STATE_ROLLUP_QST],0),MATCH(F$9,MMWR_RATING_STATE_ROLLUP_QST[#Headers],0)),"ERROR"))</f>
        <v>2</v>
      </c>
      <c r="G54" s="154">
        <f>IF($B54=" ","",IFERROR(INDEX(MMWR_RATING_STATE_ROLLUP_QST[],MATCH($B54,MMWR_RATING_STATE_ROLLUP_QST[MMWR_RATING_STATE_ROLLUP_QST],0),MATCH(G$9,MMWR_RATING_STATE_ROLLUP_QST[#Headers],0)),"ERROR"))</f>
        <v>6</v>
      </c>
      <c r="H54" s="155">
        <f>IF($B54=" ","",IFERROR(INDEX(MMWR_RATING_STATE_ROLLUP_QST[],MATCH($B54,MMWR_RATING_STATE_ROLLUP_QST[MMWR_RATING_STATE_ROLLUP_QST],0),MATCH(H$9,MMWR_RATING_STATE_ROLLUP_QST[#Headers],0)),"ERROR"))</f>
        <v>149.5</v>
      </c>
      <c r="I54" s="155">
        <f>IF($B54=" ","",IFERROR(INDEX(MMWR_RATING_STATE_ROLLUP_QST[],MATCH($B54,MMWR_RATING_STATE_ROLLUP_QST[MMWR_RATING_STATE_ROLLUP_QST],0),MATCH(I$9,MMWR_RATING_STATE_ROLLUP_QST[#Headers],0)),"ERROR"))</f>
        <v>145.6666666667</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37</v>
      </c>
      <c r="D55" s="155">
        <f>IF($B55=" ","",IFERROR(INDEX(MMWR_RATING_STATE_ROLLUP_QST[],MATCH($B55,MMWR_RATING_STATE_ROLLUP_QST[MMWR_RATING_STATE_ROLLUP_QST],0),MATCH(D$9,MMWR_RATING_STATE_ROLLUP_QST[#Headers],0)),"ERROR"))</f>
        <v>75.432432432400006</v>
      </c>
      <c r="E55" s="156">
        <f>IF($B55=" ","",IFERROR(INDEX(MMWR_RATING_STATE_ROLLUP_QST[],MATCH($B55,MMWR_RATING_STATE_ROLLUP_QST[MMWR_RATING_STATE_ROLLUP_QST],0),MATCH(E$9,MMWR_RATING_STATE_ROLLUP_QST[#Headers],0))/$C55,"ERROR"))</f>
        <v>0.1891891891891892</v>
      </c>
      <c r="F55" s="154">
        <f>IF($B55=" ","",IFERROR(INDEX(MMWR_RATING_STATE_ROLLUP_QST[],MATCH($B55,MMWR_RATING_STATE_ROLLUP_QST[MMWR_RATING_STATE_ROLLUP_QST],0),MATCH(F$9,MMWR_RATING_STATE_ROLLUP_QST[#Headers],0)),"ERROR"))</f>
        <v>1</v>
      </c>
      <c r="G55" s="154">
        <f>IF($B55=" ","",IFERROR(INDEX(MMWR_RATING_STATE_ROLLUP_QST[],MATCH($B55,MMWR_RATING_STATE_ROLLUP_QST[MMWR_RATING_STATE_ROLLUP_QST],0),MATCH(G$9,MMWR_RATING_STATE_ROLLUP_QST[#Headers],0)),"ERROR"))</f>
        <v>5</v>
      </c>
      <c r="H55" s="155">
        <f>IF($B55=" ","",IFERROR(INDEX(MMWR_RATING_STATE_ROLLUP_QST[],MATCH($B55,MMWR_RATING_STATE_ROLLUP_QST[MMWR_RATING_STATE_ROLLUP_QST],0),MATCH(H$9,MMWR_RATING_STATE_ROLLUP_QST[#Headers],0)),"ERROR"))</f>
        <v>145</v>
      </c>
      <c r="I55" s="155">
        <f>IF($B55=" ","",IFERROR(INDEX(MMWR_RATING_STATE_ROLLUP_QST[],MATCH($B55,MMWR_RATING_STATE_ROLLUP_QST[MMWR_RATING_STATE_ROLLUP_QST],0),MATCH(I$9,MMWR_RATING_STATE_ROLLUP_QST[#Headers],0)),"ERROR"))</f>
        <v>147</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264</v>
      </c>
      <c r="D56" s="155">
        <f>IF($B56=" ","",IFERROR(INDEX(MMWR_RATING_STATE_ROLLUP_QST[],MATCH($B56,MMWR_RATING_STATE_ROLLUP_QST[MMWR_RATING_STATE_ROLLUP_QST],0),MATCH(D$9,MMWR_RATING_STATE_ROLLUP_QST[#Headers],0)),"ERROR"))</f>
        <v>86.643939393899998</v>
      </c>
      <c r="E56" s="156">
        <f>IF($B56=" ","",IFERROR(INDEX(MMWR_RATING_STATE_ROLLUP_QST[],MATCH($B56,MMWR_RATING_STATE_ROLLUP_QST[MMWR_RATING_STATE_ROLLUP_QST],0),MATCH(E$9,MMWR_RATING_STATE_ROLLUP_QST[#Headers],0))/$C56,"ERROR"))</f>
        <v>0.24242424242424243</v>
      </c>
      <c r="F56" s="154">
        <f>IF($B56=" ","",IFERROR(INDEX(MMWR_RATING_STATE_ROLLUP_QST[],MATCH($B56,MMWR_RATING_STATE_ROLLUP_QST[MMWR_RATING_STATE_ROLLUP_QST],0),MATCH(F$9,MMWR_RATING_STATE_ROLLUP_QST[#Headers],0)),"ERROR"))</f>
        <v>19</v>
      </c>
      <c r="G56" s="154">
        <f>IF($B56=" ","",IFERROR(INDEX(MMWR_RATING_STATE_ROLLUP_QST[],MATCH($B56,MMWR_RATING_STATE_ROLLUP_QST[MMWR_RATING_STATE_ROLLUP_QST],0),MATCH(G$9,MMWR_RATING_STATE_ROLLUP_QST[#Headers],0)),"ERROR"))</f>
        <v>91</v>
      </c>
      <c r="H56" s="155">
        <f>IF($B56=" ","",IFERROR(INDEX(MMWR_RATING_STATE_ROLLUP_QST[],MATCH($B56,MMWR_RATING_STATE_ROLLUP_QST[MMWR_RATING_STATE_ROLLUP_QST],0),MATCH(H$9,MMWR_RATING_STATE_ROLLUP_QST[#Headers],0)),"ERROR"))</f>
        <v>155.8947368421</v>
      </c>
      <c r="I56" s="155">
        <f>IF($B56=" ","",IFERROR(INDEX(MMWR_RATING_STATE_ROLLUP_QST[],MATCH($B56,MMWR_RATING_STATE_ROLLUP_QST[MMWR_RATING_STATE_ROLLUP_QST],0),MATCH(I$9,MMWR_RATING_STATE_ROLLUP_QST[#Headers],0)),"ERROR"))</f>
        <v>140.0989010989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89</v>
      </c>
      <c r="D57" s="155">
        <f>IF($B57=" ","",IFERROR(INDEX(MMWR_RATING_STATE_ROLLUP_QST[],MATCH($B57,MMWR_RATING_STATE_ROLLUP_QST[MMWR_RATING_STATE_ROLLUP_QST],0),MATCH(D$9,MMWR_RATING_STATE_ROLLUP_QST[#Headers],0)),"ERROR"))</f>
        <v>82.382022471900001</v>
      </c>
      <c r="E57" s="156">
        <f>IF($B57=" ","",IFERROR(INDEX(MMWR_RATING_STATE_ROLLUP_QST[],MATCH($B57,MMWR_RATING_STATE_ROLLUP_QST[MMWR_RATING_STATE_ROLLUP_QST],0),MATCH(E$9,MMWR_RATING_STATE_ROLLUP_QST[#Headers],0))/$C57,"ERROR"))</f>
        <v>0.1797752808988764</v>
      </c>
      <c r="F57" s="154">
        <f>IF($B57=" ","",IFERROR(INDEX(MMWR_RATING_STATE_ROLLUP_QST[],MATCH($B57,MMWR_RATING_STATE_ROLLUP_QST[MMWR_RATING_STATE_ROLLUP_QST],0),MATCH(F$9,MMWR_RATING_STATE_ROLLUP_QST[#Headers],0)),"ERROR"))</f>
        <v>11</v>
      </c>
      <c r="G57" s="154">
        <f>IF($B57=" ","",IFERROR(INDEX(MMWR_RATING_STATE_ROLLUP_QST[],MATCH($B57,MMWR_RATING_STATE_ROLLUP_QST[MMWR_RATING_STATE_ROLLUP_QST],0),MATCH(G$9,MMWR_RATING_STATE_ROLLUP_QST[#Headers],0)),"ERROR"))</f>
        <v>48</v>
      </c>
      <c r="H57" s="155">
        <f>IF($B57=" ","",IFERROR(INDEX(MMWR_RATING_STATE_ROLLUP_QST[],MATCH($B57,MMWR_RATING_STATE_ROLLUP_QST[MMWR_RATING_STATE_ROLLUP_QST],0),MATCH(H$9,MMWR_RATING_STATE_ROLLUP_QST[#Headers],0)),"ERROR"))</f>
        <v>138.0909090909</v>
      </c>
      <c r="I57" s="155">
        <f>IF($B57=" ","",IFERROR(INDEX(MMWR_RATING_STATE_ROLLUP_QST[],MATCH($B57,MMWR_RATING_STATE_ROLLUP_QST[MMWR_RATING_STATE_ROLLUP_QST],0),MATCH(I$9,MMWR_RATING_STATE_ROLLUP_QST[#Headers],0)),"ERROR"))</f>
        <v>137.2083333333</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29</v>
      </c>
      <c r="D58" s="155">
        <f>IF($B58=" ","",IFERROR(INDEX(MMWR_RATING_STATE_ROLLUP_QST[],MATCH($B58,MMWR_RATING_STATE_ROLLUP_QST[MMWR_RATING_STATE_ROLLUP_QST],0),MATCH(D$9,MMWR_RATING_STATE_ROLLUP_QST[#Headers],0)),"ERROR"))</f>
        <v>78.172413793100006</v>
      </c>
      <c r="E58" s="156">
        <f>IF($B58=" ","",IFERROR(INDEX(MMWR_RATING_STATE_ROLLUP_QST[],MATCH($B58,MMWR_RATING_STATE_ROLLUP_QST[MMWR_RATING_STATE_ROLLUP_QST],0),MATCH(E$9,MMWR_RATING_STATE_ROLLUP_QST[#Headers],0))/$C58,"ERROR"))</f>
        <v>0.17241379310344829</v>
      </c>
      <c r="F58" s="154">
        <f>IF($B58=" ","",IFERROR(INDEX(MMWR_RATING_STATE_ROLLUP_QST[],MATCH($B58,MMWR_RATING_STATE_ROLLUP_QST[MMWR_RATING_STATE_ROLLUP_QST],0),MATCH(F$9,MMWR_RATING_STATE_ROLLUP_QST[#Headers],0)),"ERROR"))</f>
        <v>0</v>
      </c>
      <c r="G58" s="154">
        <f>IF($B58=" ","",IFERROR(INDEX(MMWR_RATING_STATE_ROLLUP_QST[],MATCH($B58,MMWR_RATING_STATE_ROLLUP_QST[MMWR_RATING_STATE_ROLLUP_QST],0),MATCH(G$9,MMWR_RATING_STATE_ROLLUP_QST[#Headers],0)),"ERROR"))</f>
        <v>5</v>
      </c>
      <c r="H58" s="155">
        <f>IF($B58=" ","",IFERROR(INDEX(MMWR_RATING_STATE_ROLLUP_QST[],MATCH($B58,MMWR_RATING_STATE_ROLLUP_QST[MMWR_RATING_STATE_ROLLUP_QST],0),MATCH(H$9,MMWR_RATING_STATE_ROLLUP_QST[#Headers],0)),"ERROR"))</f>
        <v>0</v>
      </c>
      <c r="I58" s="155">
        <f>IF($B58=" ","",IFERROR(INDEX(MMWR_RATING_STATE_ROLLUP_QST[],MATCH($B58,MMWR_RATING_STATE_ROLLUP_QST[MMWR_RATING_STATE_ROLLUP_QST],0),MATCH(I$9,MMWR_RATING_STATE_ROLLUP_QST[#Headers],0)),"ERROR"))</f>
        <v>143</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127</v>
      </c>
      <c r="D59" s="155">
        <f>IF($B59=" ","",IFERROR(INDEX(MMWR_RATING_STATE_ROLLUP_QST[],MATCH($B59,MMWR_RATING_STATE_ROLLUP_QST[MMWR_RATING_STATE_ROLLUP_QST],0),MATCH(D$9,MMWR_RATING_STATE_ROLLUP_QST[#Headers],0)),"ERROR"))</f>
        <v>78.858267716499995</v>
      </c>
      <c r="E59" s="156">
        <f>IF($B59=" ","",IFERROR(INDEX(MMWR_RATING_STATE_ROLLUP_QST[],MATCH($B59,MMWR_RATING_STATE_ROLLUP_QST[MMWR_RATING_STATE_ROLLUP_QST],0),MATCH(E$9,MMWR_RATING_STATE_ROLLUP_QST[#Headers],0))/$C59,"ERROR"))</f>
        <v>0.20472440944881889</v>
      </c>
      <c r="F59" s="154">
        <f>IF($B59=" ","",IFERROR(INDEX(MMWR_RATING_STATE_ROLLUP_QST[],MATCH($B59,MMWR_RATING_STATE_ROLLUP_QST[MMWR_RATING_STATE_ROLLUP_QST],0),MATCH(F$9,MMWR_RATING_STATE_ROLLUP_QST[#Headers],0)),"ERROR"))</f>
        <v>5</v>
      </c>
      <c r="G59" s="154">
        <f>IF($B59=" ","",IFERROR(INDEX(MMWR_RATING_STATE_ROLLUP_QST[],MATCH($B59,MMWR_RATING_STATE_ROLLUP_QST[MMWR_RATING_STATE_ROLLUP_QST],0),MATCH(G$9,MMWR_RATING_STATE_ROLLUP_QST[#Headers],0)),"ERROR"))</f>
        <v>27</v>
      </c>
      <c r="H59" s="155">
        <f>IF($B59=" ","",IFERROR(INDEX(MMWR_RATING_STATE_ROLLUP_QST[],MATCH($B59,MMWR_RATING_STATE_ROLLUP_QST[MMWR_RATING_STATE_ROLLUP_QST],0),MATCH(H$9,MMWR_RATING_STATE_ROLLUP_QST[#Headers],0)),"ERROR"))</f>
        <v>189</v>
      </c>
      <c r="I59" s="155">
        <f>IF($B59=" ","",IFERROR(INDEX(MMWR_RATING_STATE_ROLLUP_QST[],MATCH($B59,MMWR_RATING_STATE_ROLLUP_QST[MMWR_RATING_STATE_ROLLUP_QST],0),MATCH(I$9,MMWR_RATING_STATE_ROLLUP_QST[#Headers],0)),"ERROR"))</f>
        <v>147.74074074070001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263</v>
      </c>
      <c r="D60" s="155">
        <f>IF($B60=" ","",IFERROR(INDEX(MMWR_RATING_STATE_ROLLUP_QST[],MATCH($B60,MMWR_RATING_STATE_ROLLUP_QST[MMWR_RATING_STATE_ROLLUP_QST],0),MATCH(D$9,MMWR_RATING_STATE_ROLLUP_QST[#Headers],0)),"ERROR"))</f>
        <v>78.323193916299999</v>
      </c>
      <c r="E60" s="156">
        <f>IF($B60=" ","",IFERROR(INDEX(MMWR_RATING_STATE_ROLLUP_QST[],MATCH($B60,MMWR_RATING_STATE_ROLLUP_QST[MMWR_RATING_STATE_ROLLUP_QST],0),MATCH(E$9,MMWR_RATING_STATE_ROLLUP_QST[#Headers],0))/$C60,"ERROR"))</f>
        <v>0.16730038022813687</v>
      </c>
      <c r="F60" s="154">
        <f>IF($B60=" ","",IFERROR(INDEX(MMWR_RATING_STATE_ROLLUP_QST[],MATCH($B60,MMWR_RATING_STATE_ROLLUP_QST[MMWR_RATING_STATE_ROLLUP_QST],0),MATCH(F$9,MMWR_RATING_STATE_ROLLUP_QST[#Headers],0)),"ERROR"))</f>
        <v>19</v>
      </c>
      <c r="G60" s="154">
        <f>IF($B60=" ","",IFERROR(INDEX(MMWR_RATING_STATE_ROLLUP_QST[],MATCH($B60,MMWR_RATING_STATE_ROLLUP_QST[MMWR_RATING_STATE_ROLLUP_QST],0),MATCH(G$9,MMWR_RATING_STATE_ROLLUP_QST[#Headers],0)),"ERROR"))</f>
        <v>92</v>
      </c>
      <c r="H60" s="155">
        <f>IF($B60=" ","",IFERROR(INDEX(MMWR_RATING_STATE_ROLLUP_QST[],MATCH($B60,MMWR_RATING_STATE_ROLLUP_QST[MMWR_RATING_STATE_ROLLUP_QST],0),MATCH(H$9,MMWR_RATING_STATE_ROLLUP_QST[#Headers],0)),"ERROR"))</f>
        <v>138.15789473679999</v>
      </c>
      <c r="I60" s="155">
        <f>IF($B60=" ","",IFERROR(INDEX(MMWR_RATING_STATE_ROLLUP_QST[],MATCH($B60,MMWR_RATING_STATE_ROLLUP_QST[MMWR_RATING_STATE_ROLLUP_QST],0),MATCH(I$9,MMWR_RATING_STATE_ROLLUP_QST[#Headers],0)),"ERROR"))</f>
        <v>120.4565217391</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671</v>
      </c>
      <c r="D61" s="155">
        <f>IF($B61=" ","",IFERROR(INDEX(MMWR_RATING_STATE_ROLLUP_QST[],MATCH($B61,MMWR_RATING_STATE_ROLLUP_QST[MMWR_RATING_STATE_ROLLUP_QST],0),MATCH(D$9,MMWR_RATING_STATE_ROLLUP_QST[#Headers],0)),"ERROR"))</f>
        <v>83.561847988099998</v>
      </c>
      <c r="E61" s="156">
        <f>IF($B61=" ","",IFERROR(INDEX(MMWR_RATING_STATE_ROLLUP_QST[],MATCH($B61,MMWR_RATING_STATE_ROLLUP_QST[MMWR_RATING_STATE_ROLLUP_QST],0),MATCH(E$9,MMWR_RATING_STATE_ROLLUP_QST[#Headers],0))/$C61,"ERROR"))</f>
        <v>0.22503725782414308</v>
      </c>
      <c r="F61" s="154">
        <f>IF($B61=" ","",IFERROR(INDEX(MMWR_RATING_STATE_ROLLUP_QST[],MATCH($B61,MMWR_RATING_STATE_ROLLUP_QST[MMWR_RATING_STATE_ROLLUP_QST],0),MATCH(F$9,MMWR_RATING_STATE_ROLLUP_QST[#Headers],0)),"ERROR"))</f>
        <v>39</v>
      </c>
      <c r="G61" s="154">
        <f>IF($B61=" ","",IFERROR(INDEX(MMWR_RATING_STATE_ROLLUP_QST[],MATCH($B61,MMWR_RATING_STATE_ROLLUP_QST[MMWR_RATING_STATE_ROLLUP_QST],0),MATCH(G$9,MMWR_RATING_STATE_ROLLUP_QST[#Headers],0)),"ERROR"))</f>
        <v>213</v>
      </c>
      <c r="H61" s="155">
        <f>IF($B61=" ","",IFERROR(INDEX(MMWR_RATING_STATE_ROLLUP_QST[],MATCH($B61,MMWR_RATING_STATE_ROLLUP_QST[MMWR_RATING_STATE_ROLLUP_QST],0),MATCH(H$9,MMWR_RATING_STATE_ROLLUP_QST[#Headers],0)),"ERROR"))</f>
        <v>149.1794871795</v>
      </c>
      <c r="I61" s="155">
        <f>IF($B61=" ","",IFERROR(INDEX(MMWR_RATING_STATE_ROLLUP_QST[],MATCH($B61,MMWR_RATING_STATE_ROLLUP_QST[MMWR_RATING_STATE_ROLLUP_QST],0),MATCH(I$9,MMWR_RATING_STATE_ROLLUP_QST[#Headers],0)),"ERROR"))</f>
        <v>146.6431924883</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206</v>
      </c>
      <c r="D62" s="155">
        <f>IF($B62=" ","",IFERROR(INDEX(MMWR_RATING_STATE_ROLLUP_QST[],MATCH($B62,MMWR_RATING_STATE_ROLLUP_QST[MMWR_RATING_STATE_ROLLUP_QST],0),MATCH(D$9,MMWR_RATING_STATE_ROLLUP_QST[#Headers],0)),"ERROR"))</f>
        <v>85.393203883499993</v>
      </c>
      <c r="E62" s="156">
        <f>IF($B62=" ","",IFERROR(INDEX(MMWR_RATING_STATE_ROLLUP_QST[],MATCH($B62,MMWR_RATING_STATE_ROLLUP_QST[MMWR_RATING_STATE_ROLLUP_QST],0),MATCH(E$9,MMWR_RATING_STATE_ROLLUP_QST[#Headers],0))/$C62,"ERROR"))</f>
        <v>0.20873786407766989</v>
      </c>
      <c r="F62" s="154">
        <f>IF($B62=" ","",IFERROR(INDEX(MMWR_RATING_STATE_ROLLUP_QST[],MATCH($B62,MMWR_RATING_STATE_ROLLUP_QST[MMWR_RATING_STATE_ROLLUP_QST],0),MATCH(F$9,MMWR_RATING_STATE_ROLLUP_QST[#Headers],0)),"ERROR"))</f>
        <v>15</v>
      </c>
      <c r="G62" s="154">
        <f>IF($B62=" ","",IFERROR(INDEX(MMWR_RATING_STATE_ROLLUP_QST[],MATCH($B62,MMWR_RATING_STATE_ROLLUP_QST[MMWR_RATING_STATE_ROLLUP_QST],0),MATCH(G$9,MMWR_RATING_STATE_ROLLUP_QST[#Headers],0)),"ERROR"))</f>
        <v>79</v>
      </c>
      <c r="H62" s="155">
        <f>IF($B62=" ","",IFERROR(INDEX(MMWR_RATING_STATE_ROLLUP_QST[],MATCH($B62,MMWR_RATING_STATE_ROLLUP_QST[MMWR_RATING_STATE_ROLLUP_QST],0),MATCH(H$9,MMWR_RATING_STATE_ROLLUP_QST[#Headers],0)),"ERROR"))</f>
        <v>142.6666666667</v>
      </c>
      <c r="I62" s="155">
        <f>IF($B62=" ","",IFERROR(INDEX(MMWR_RATING_STATE_ROLLUP_QST[],MATCH($B62,MMWR_RATING_STATE_ROLLUP_QST[MMWR_RATING_STATE_ROLLUP_QST],0),MATCH(I$9,MMWR_RATING_STATE_ROLLUP_QST[#Headers],0)),"ERROR"))</f>
        <v>129.2025316456</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11</v>
      </c>
      <c r="D63" s="155">
        <f>IF($B63=" ","",IFERROR(INDEX(MMWR_RATING_STATE_ROLLUP_QST[],MATCH($B63,MMWR_RATING_STATE_ROLLUP_QST[MMWR_RATING_STATE_ROLLUP_QST],0),MATCH(D$9,MMWR_RATING_STATE_ROLLUP_QST[#Headers],0)),"ERROR"))</f>
        <v>88.545454545499993</v>
      </c>
      <c r="E63" s="156">
        <f>IF($B63=" ","",IFERROR(INDEX(MMWR_RATING_STATE_ROLLUP_QST[],MATCH($B63,MMWR_RATING_STATE_ROLLUP_QST[MMWR_RATING_STATE_ROLLUP_QST],0),MATCH(E$9,MMWR_RATING_STATE_ROLLUP_QST[#Headers],0))/$C63,"ERROR"))</f>
        <v>0.27272727272727271</v>
      </c>
      <c r="F63" s="154">
        <f>IF($B63=" ","",IFERROR(INDEX(MMWR_RATING_STATE_ROLLUP_QST[],MATCH($B63,MMWR_RATING_STATE_ROLLUP_QST[MMWR_RATING_STATE_ROLLUP_QST],0),MATCH(F$9,MMWR_RATING_STATE_ROLLUP_QST[#Headers],0)),"ERROR"))</f>
        <v>3</v>
      </c>
      <c r="G63" s="154">
        <f>IF($B63=" ","",IFERROR(INDEX(MMWR_RATING_STATE_ROLLUP_QST[],MATCH($B63,MMWR_RATING_STATE_ROLLUP_QST[MMWR_RATING_STATE_ROLLUP_QST],0),MATCH(G$9,MMWR_RATING_STATE_ROLLUP_QST[#Headers],0)),"ERROR"))</f>
        <v>6</v>
      </c>
      <c r="H63" s="155">
        <f>IF($B63=" ","",IFERROR(INDEX(MMWR_RATING_STATE_ROLLUP_QST[],MATCH($B63,MMWR_RATING_STATE_ROLLUP_QST[MMWR_RATING_STATE_ROLLUP_QST],0),MATCH(H$9,MMWR_RATING_STATE_ROLLUP_QST[#Headers],0)),"ERROR"))</f>
        <v>139.6666666667</v>
      </c>
      <c r="I63" s="155">
        <f>IF($B63=" ","",IFERROR(INDEX(MMWR_RATING_STATE_ROLLUP_QST[],MATCH($B63,MMWR_RATING_STATE_ROLLUP_QST[MMWR_RATING_STATE_ROLLUP_QST],0),MATCH(I$9,MMWR_RATING_STATE_ROLLUP_QST[#Headers],0)),"ERROR"))</f>
        <v>156.5</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5</v>
      </c>
      <c r="D64" s="155">
        <f>IF($B64=" ","",IFERROR(INDEX(MMWR_RATING_STATE_ROLLUP_QST[],MATCH($B64,MMWR_RATING_STATE_ROLLUP_QST[MMWR_RATING_STATE_ROLLUP_QST],0),MATCH(D$9,MMWR_RATING_STATE_ROLLUP_QST[#Headers],0)),"ERROR"))</f>
        <v>118.4</v>
      </c>
      <c r="E64" s="156">
        <f>IF($B64=" ","",IFERROR(INDEX(MMWR_RATING_STATE_ROLLUP_QST[],MATCH($B64,MMWR_RATING_STATE_ROLLUP_QST[MMWR_RATING_STATE_ROLLUP_QST],0),MATCH(E$9,MMWR_RATING_STATE_ROLLUP_QST[#Headers],0))/$C64,"ERROR"))</f>
        <v>0.4</v>
      </c>
      <c r="F64" s="154">
        <f>IF($B64=" ","",IFERROR(INDEX(MMWR_RATING_STATE_ROLLUP_QST[],MATCH($B64,MMWR_RATING_STATE_ROLLUP_QST[MMWR_RATING_STATE_ROLLUP_QST],0),MATCH(F$9,MMWR_RATING_STATE_ROLLUP_QST[#Headers],0)),"ERROR"))</f>
        <v>1</v>
      </c>
      <c r="G64" s="154">
        <f>IF($B64=" ","",IFERROR(INDEX(MMWR_RATING_STATE_ROLLUP_QST[],MATCH($B64,MMWR_RATING_STATE_ROLLUP_QST[MMWR_RATING_STATE_ROLLUP_QST],0),MATCH(G$9,MMWR_RATING_STATE_ROLLUP_QST[#Headers],0)),"ERROR"))</f>
        <v>3</v>
      </c>
      <c r="H64" s="155">
        <f>IF($B64=" ","",IFERROR(INDEX(MMWR_RATING_STATE_ROLLUP_QST[],MATCH($B64,MMWR_RATING_STATE_ROLLUP_QST[MMWR_RATING_STATE_ROLLUP_QST],0),MATCH(H$9,MMWR_RATING_STATE_ROLLUP_QST[#Headers],0)),"ERROR"))</f>
        <v>132</v>
      </c>
      <c r="I64" s="155">
        <f>IF($B64=" ","",IFERROR(INDEX(MMWR_RATING_STATE_ROLLUP_QST[],MATCH($B64,MMWR_RATING_STATE_ROLLUP_QST[MMWR_RATING_STATE_ROLLUP_QST],0),MATCH(I$9,MMWR_RATING_STATE_ROLLUP_QST[#Headers],0)),"ERROR"))</f>
        <v>108</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728</v>
      </c>
      <c r="D65" s="155">
        <f>IF($B65=" ","",IFERROR(INDEX(MMWR_RATING_STATE_ROLLUP_QST[],MATCH($B65,MMWR_RATING_STATE_ROLLUP_QST[MMWR_RATING_STATE_ROLLUP_QST],0),MATCH(D$9,MMWR_RATING_STATE_ROLLUP_QST[#Headers],0)),"ERROR"))</f>
        <v>84.785714285699996</v>
      </c>
      <c r="E65" s="156">
        <f>IF($B65=" ","",IFERROR(INDEX(MMWR_RATING_STATE_ROLLUP_QST[],MATCH($B65,MMWR_RATING_STATE_ROLLUP_QST[MMWR_RATING_STATE_ROLLUP_QST],0),MATCH(E$9,MMWR_RATING_STATE_ROLLUP_QST[#Headers],0))/$C65,"ERROR"))</f>
        <v>0.22939560439560439</v>
      </c>
      <c r="F65" s="154">
        <f>IF($B65=" ","",IFERROR(INDEX(MMWR_RATING_STATE_ROLLUP_QST[],MATCH($B65,MMWR_RATING_STATE_ROLLUP_QST[MMWR_RATING_STATE_ROLLUP_QST],0),MATCH(F$9,MMWR_RATING_STATE_ROLLUP_QST[#Headers],0)),"ERROR"))</f>
        <v>42</v>
      </c>
      <c r="G65" s="154">
        <f>IF($B65=" ","",IFERROR(INDEX(MMWR_RATING_STATE_ROLLUP_QST[],MATCH($B65,MMWR_RATING_STATE_ROLLUP_QST[MMWR_RATING_STATE_ROLLUP_QST],0),MATCH(G$9,MMWR_RATING_STATE_ROLLUP_QST[#Headers],0)),"ERROR"))</f>
        <v>216</v>
      </c>
      <c r="H65" s="155">
        <f>IF($B65=" ","",IFERROR(INDEX(MMWR_RATING_STATE_ROLLUP_QST[],MATCH($B65,MMWR_RATING_STATE_ROLLUP_QST[MMWR_RATING_STATE_ROLLUP_QST],0),MATCH(H$9,MMWR_RATING_STATE_ROLLUP_QST[#Headers],0)),"ERROR"))</f>
        <v>174.80952380950001</v>
      </c>
      <c r="I65" s="155">
        <f>IF($B65=" ","",IFERROR(INDEX(MMWR_RATING_STATE_ROLLUP_QST[],MATCH($B65,MMWR_RATING_STATE_ROLLUP_QST[MMWR_RATING_STATE_ROLLUP_QST],0),MATCH(I$9,MMWR_RATING_STATE_ROLLUP_QST[#Headers],0)),"ERROR"))</f>
        <v>164.5833333333</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24</v>
      </c>
      <c r="D66" s="155">
        <f>IF($B66=" ","",IFERROR(INDEX(MMWR_RATING_STATE_ROLLUP_QST[],MATCH($B66,MMWR_RATING_STATE_ROLLUP_QST[MMWR_RATING_STATE_ROLLUP_QST],0),MATCH(D$9,MMWR_RATING_STATE_ROLLUP_QST[#Headers],0)),"ERROR"))</f>
        <v>79.666666666699996</v>
      </c>
      <c r="E66" s="156">
        <f>IF($B66=" ","",IFERROR(INDEX(MMWR_RATING_STATE_ROLLUP_QST[],MATCH($B66,MMWR_RATING_STATE_ROLLUP_QST[MMWR_RATING_STATE_ROLLUP_QST],0),MATCH(E$9,MMWR_RATING_STATE_ROLLUP_QST[#Headers],0))/$C66,"ERROR"))</f>
        <v>0.16666666666666666</v>
      </c>
      <c r="F66" s="154">
        <f>IF($B66=" ","",IFERROR(INDEX(MMWR_RATING_STATE_ROLLUP_QST[],MATCH($B66,MMWR_RATING_STATE_ROLLUP_QST[MMWR_RATING_STATE_ROLLUP_QST],0),MATCH(F$9,MMWR_RATING_STATE_ROLLUP_QST[#Headers],0)),"ERROR"))</f>
        <v>1</v>
      </c>
      <c r="G66" s="154">
        <f>IF($B66=" ","",IFERROR(INDEX(MMWR_RATING_STATE_ROLLUP_QST[],MATCH($B66,MMWR_RATING_STATE_ROLLUP_QST[MMWR_RATING_STATE_ROLLUP_QST],0),MATCH(G$9,MMWR_RATING_STATE_ROLLUP_QST[#Headers],0)),"ERROR"))</f>
        <v>7</v>
      </c>
      <c r="H66" s="155">
        <f>IF($B66=" ","",IFERROR(INDEX(MMWR_RATING_STATE_ROLLUP_QST[],MATCH($B66,MMWR_RATING_STATE_ROLLUP_QST[MMWR_RATING_STATE_ROLLUP_QST],0),MATCH(H$9,MMWR_RATING_STATE_ROLLUP_QST[#Headers],0)),"ERROR"))</f>
        <v>137</v>
      </c>
      <c r="I66" s="155">
        <f>IF($B66=" ","",IFERROR(INDEX(MMWR_RATING_STATE_ROLLUP_QST[],MATCH($B66,MMWR_RATING_STATE_ROLLUP_QST[MMWR_RATING_STATE_ROLLUP_QST],0),MATCH(I$9,MMWR_RATING_STATE_ROLLUP_QST[#Headers],0)),"ERROR"))</f>
        <v>148.57142857139999</v>
      </c>
      <c r="J66" s="42"/>
      <c r="K66" s="42"/>
      <c r="L66" s="42"/>
      <c r="M66" s="42"/>
      <c r="N66" s="28"/>
    </row>
    <row r="67" spans="1:14" x14ac:dyDescent="0.2">
      <c r="A67" s="25"/>
      <c r="B67" s="342" t="s">
        <v>1048</v>
      </c>
      <c r="C67" s="343"/>
      <c r="D67" s="343"/>
      <c r="E67" s="343"/>
      <c r="F67" s="343"/>
      <c r="G67" s="343"/>
      <c r="H67" s="343"/>
      <c r="I67" s="343"/>
      <c r="J67" s="343"/>
      <c r="K67" s="343"/>
      <c r="L67" s="343"/>
      <c r="M67" s="393"/>
      <c r="N67" s="28"/>
    </row>
    <row r="68" spans="1:14" ht="25.5" x14ac:dyDescent="0.2">
      <c r="A68" s="25"/>
      <c r="B68" s="251" t="s">
        <v>1044</v>
      </c>
      <c r="C68" s="154">
        <f>IF($B68=" ","",IFERROR(INDEX(MMWR_RATING_STATE_ROLLUP_BDD[],MATCH($B68,MMWR_RATING_STATE_ROLLUP_BDD[MMWR_RATING_STATE_ROLLUP_BDD],0),MATCH(C$9,MMWR_RATING_STATE_ROLLUP_BDD[#Headers],0)),"ERROR"))</f>
        <v>11913</v>
      </c>
      <c r="D68" s="155">
        <f>IF($B68=" ","",IFERROR(INDEX(MMWR_RATING_STATE_ROLLUP_BDD[],MATCH($B68,MMWR_RATING_STATE_ROLLUP_BDD[MMWR_RATING_STATE_ROLLUP_BDD],0),MATCH(D$9,MMWR_RATING_STATE_ROLLUP_BDD[#Headers],0)),"ERROR"))</f>
        <v>80.065642575300004</v>
      </c>
      <c r="E68" s="156">
        <f>IF($B68=" ","",IFERROR(INDEX(MMWR_RATING_STATE_ROLLUP_BDD[],MATCH($B68,MMWR_RATING_STATE_ROLLUP_BDD[MMWR_RATING_STATE_ROLLUP_BDD],0),MATCH(E$9,MMWR_RATING_STATE_ROLLUP_BDD[#Headers],0))/$C68,"ERROR"))</f>
        <v>0.19634013262822128</v>
      </c>
      <c r="F68" s="154">
        <f>IF($B68=" ","",IFERROR(INDEX(MMWR_RATING_STATE_ROLLUP_BDD[],MATCH($B68,MMWR_RATING_STATE_ROLLUP_BDD[MMWR_RATING_STATE_ROLLUP_BDD],0),MATCH(F$9,MMWR_RATING_STATE_ROLLUP_BDD[#Headers],0)),"ERROR"))</f>
        <v>840</v>
      </c>
      <c r="G68" s="154">
        <f>IF($B68=" ","",IFERROR(INDEX(MMWR_RATING_STATE_ROLLUP_BDD[],MATCH($B68,MMWR_RATING_STATE_ROLLUP_BDD[MMWR_RATING_STATE_ROLLUP_BDD],0),MATCH(G$9,MMWR_RATING_STATE_ROLLUP_BDD[#Headers],0)),"ERROR"))</f>
        <v>4421</v>
      </c>
      <c r="H68" s="155">
        <f>IF($B68=" ","",IFERROR(INDEX(MMWR_RATING_STATE_ROLLUP_BDD[],MATCH($B68,MMWR_RATING_STATE_ROLLUP_BDD[MMWR_RATING_STATE_ROLLUP_BDD],0),MATCH(H$9,MMWR_RATING_STATE_ROLLUP_BDD[#Headers],0)),"ERROR"))</f>
        <v>136.74166666670001</v>
      </c>
      <c r="I68" s="155">
        <f>IF($B68=" ","",IFERROR(INDEX(MMWR_RATING_STATE_ROLLUP_BDD[],MATCH($B68,MMWR_RATING_STATE_ROLLUP_BDD[MMWR_RATING_STATE_ROLLUP_BDD],0),MATCH(I$9,MMWR_RATING_STATE_ROLLUP_BDD[#Headers],0)),"ERROR"))</f>
        <v>130.7787830808</v>
      </c>
      <c r="J68" s="42"/>
      <c r="K68" s="42"/>
      <c r="L68" s="42"/>
      <c r="M68" s="42"/>
      <c r="N68" s="28"/>
    </row>
    <row r="69" spans="1:14" x14ac:dyDescent="0.2">
      <c r="A69" s="25"/>
      <c r="B69" s="249" t="str">
        <f>INDEX(DISTRICT_STATES[],MATCH($B$5,DISTRICT_RO[District],0),1)</f>
        <v>North Atlantic</v>
      </c>
      <c r="C69" s="154">
        <f>IF($B69=" ","",IFERROR(INDEX(MMWR_RATING_STATE_ROLLUP_BDD[],MATCH($B69,MMWR_RATING_STATE_ROLLUP_BDD[MMWR_RATING_STATE_ROLLUP_BDD],0),MATCH(C$9,MMWR_RATING_STATE_ROLLUP_BDD[#Headers],0)),"ERROR"))</f>
        <v>3665</v>
      </c>
      <c r="D69" s="155">
        <f>IF($B69=" ","",IFERROR(INDEX(MMWR_RATING_STATE_ROLLUP_BDD[],MATCH($B69,MMWR_RATING_STATE_ROLLUP_BDD[MMWR_RATING_STATE_ROLLUP_BDD],0),MATCH(D$9,MMWR_RATING_STATE_ROLLUP_BDD[#Headers],0)),"ERROR"))</f>
        <v>84.529331514299997</v>
      </c>
      <c r="E69" s="156">
        <f>IF($B69=" ","",IFERROR(INDEX(MMWR_RATING_STATE_ROLLUP_BDD[],MATCH($B69,MMWR_RATING_STATE_ROLLUP_BDD[MMWR_RATING_STATE_ROLLUP_BDD],0),MATCH(E$9,MMWR_RATING_STATE_ROLLUP_BDD[#Headers],0))/$C69,"ERROR"))</f>
        <v>0.23110504774897681</v>
      </c>
      <c r="F69" s="154">
        <f>IF($B69=" ","",IFERROR(INDEX(MMWR_RATING_STATE_ROLLUP_BDD[],MATCH($B69,MMWR_RATING_STATE_ROLLUP_BDD[MMWR_RATING_STATE_ROLLUP_BDD],0),MATCH(F$9,MMWR_RATING_STATE_ROLLUP_BDD[#Headers],0)),"ERROR"))</f>
        <v>198</v>
      </c>
      <c r="G69" s="154">
        <f>IF($B69=" ","",IFERROR(INDEX(MMWR_RATING_STATE_ROLLUP_BDD[],MATCH($B69,MMWR_RATING_STATE_ROLLUP_BDD[MMWR_RATING_STATE_ROLLUP_BDD],0),MATCH(G$9,MMWR_RATING_STATE_ROLLUP_BDD[#Headers],0)),"ERROR"))</f>
        <v>1058</v>
      </c>
      <c r="H69" s="155">
        <f>IF($B69=" ","",IFERROR(INDEX(MMWR_RATING_STATE_ROLLUP_BDD[],MATCH($B69,MMWR_RATING_STATE_ROLLUP_BDD[MMWR_RATING_STATE_ROLLUP_BDD],0),MATCH(H$9,MMWR_RATING_STATE_ROLLUP_BDD[#Headers],0)),"ERROR"))</f>
        <v>144.1111111111</v>
      </c>
      <c r="I69" s="155">
        <f>IF($B69=" ","",IFERROR(INDEX(MMWR_RATING_STATE_ROLLUP_BDD[],MATCH($B69,MMWR_RATING_STATE_ROLLUP_BDD[MMWR_RATING_STATE_ROLLUP_BDD],0),MATCH(I$9,MMWR_RATING_STATE_ROLLUP_BDD[#Headers],0)),"ERROR"))</f>
        <v>141.20415879020001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67</v>
      </c>
      <c r="D70" s="155">
        <f>IF($B70=" ","",IFERROR(INDEX(MMWR_RATING_STATE_ROLLUP_BDD[],MATCH($B70,MMWR_RATING_STATE_ROLLUP_BDD[MMWR_RATING_STATE_ROLLUP_BDD],0),MATCH(D$9,MMWR_RATING_STATE_ROLLUP_BDD[#Headers],0)),"ERROR"))</f>
        <v>89.985074626900001</v>
      </c>
      <c r="E70" s="156">
        <f>IF($B70=" ","",IFERROR(INDEX(MMWR_RATING_STATE_ROLLUP_BDD[],MATCH($B70,MMWR_RATING_STATE_ROLLUP_BDD[MMWR_RATING_STATE_ROLLUP_BDD],0),MATCH(E$9,MMWR_RATING_STATE_ROLLUP_BDD[#Headers],0))/$C70,"ERROR"))</f>
        <v>0.26865671641791045</v>
      </c>
      <c r="F70" s="154">
        <f>IF($B70=" ","",IFERROR(INDEX(MMWR_RATING_STATE_ROLLUP_BDD[],MATCH($B70,MMWR_RATING_STATE_ROLLUP_BDD[MMWR_RATING_STATE_ROLLUP_BDD],0),MATCH(F$9,MMWR_RATING_STATE_ROLLUP_BDD[#Headers],0)),"ERROR"))</f>
        <v>7</v>
      </c>
      <c r="G70" s="154">
        <f>IF($B70=" ","",IFERROR(INDEX(MMWR_RATING_STATE_ROLLUP_BDD[],MATCH($B70,MMWR_RATING_STATE_ROLLUP_BDD[MMWR_RATING_STATE_ROLLUP_BDD],0),MATCH(G$9,MMWR_RATING_STATE_ROLLUP_BDD[#Headers],0)),"ERROR"))</f>
        <v>23</v>
      </c>
      <c r="H70" s="155">
        <f>IF($B70=" ","",IFERROR(INDEX(MMWR_RATING_STATE_ROLLUP_BDD[],MATCH($B70,MMWR_RATING_STATE_ROLLUP_BDD[MMWR_RATING_STATE_ROLLUP_BDD],0),MATCH(H$9,MMWR_RATING_STATE_ROLLUP_BDD[#Headers],0)),"ERROR"))</f>
        <v>163.71428571429999</v>
      </c>
      <c r="I70" s="155">
        <f>IF($B70=" ","",IFERROR(INDEX(MMWR_RATING_STATE_ROLLUP_BDD[],MATCH($B70,MMWR_RATING_STATE_ROLLUP_BDD[MMWR_RATING_STATE_ROLLUP_BDD],0),MATCH(I$9,MMWR_RATING_STATE_ROLLUP_BDD[#Headers],0)),"ERROR"))</f>
        <v>140.69565217389999</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31</v>
      </c>
      <c r="D71" s="155">
        <f>IF($B71=" ","",IFERROR(INDEX(MMWR_RATING_STATE_ROLLUP_BDD[],MATCH($B71,MMWR_RATING_STATE_ROLLUP_BDD[MMWR_RATING_STATE_ROLLUP_BDD],0),MATCH(D$9,MMWR_RATING_STATE_ROLLUP_BDD[#Headers],0)),"ERROR"))</f>
        <v>94.161290322599996</v>
      </c>
      <c r="E71" s="156">
        <f>IF($B71=" ","",IFERROR(INDEX(MMWR_RATING_STATE_ROLLUP_BDD[],MATCH($B71,MMWR_RATING_STATE_ROLLUP_BDD[MMWR_RATING_STATE_ROLLUP_BDD],0),MATCH(E$9,MMWR_RATING_STATE_ROLLUP_BDD[#Headers],0))/$C71,"ERROR"))</f>
        <v>0.25806451612903225</v>
      </c>
      <c r="F71" s="154">
        <f>IF($B71=" ","",IFERROR(INDEX(MMWR_RATING_STATE_ROLLUP_BDD[],MATCH($B71,MMWR_RATING_STATE_ROLLUP_BDD[MMWR_RATING_STATE_ROLLUP_BDD],0),MATCH(F$9,MMWR_RATING_STATE_ROLLUP_BDD[#Headers],0)),"ERROR"))</f>
        <v>3</v>
      </c>
      <c r="G71" s="154">
        <f>IF($B71=" ","",IFERROR(INDEX(MMWR_RATING_STATE_ROLLUP_BDD[],MATCH($B71,MMWR_RATING_STATE_ROLLUP_BDD[MMWR_RATING_STATE_ROLLUP_BDD],0),MATCH(G$9,MMWR_RATING_STATE_ROLLUP_BDD[#Headers],0)),"ERROR"))</f>
        <v>4</v>
      </c>
      <c r="H71" s="155">
        <f>IF($B71=" ","",IFERROR(INDEX(MMWR_RATING_STATE_ROLLUP_BDD[],MATCH($B71,MMWR_RATING_STATE_ROLLUP_BDD[MMWR_RATING_STATE_ROLLUP_BDD],0),MATCH(H$9,MMWR_RATING_STATE_ROLLUP_BDD[#Headers],0)),"ERROR"))</f>
        <v>184</v>
      </c>
      <c r="I71" s="155">
        <f>IF($B71=" ","",IFERROR(INDEX(MMWR_RATING_STATE_ROLLUP_BDD[],MATCH($B71,MMWR_RATING_STATE_ROLLUP_BDD[MMWR_RATING_STATE_ROLLUP_BDD],0),MATCH(I$9,MMWR_RATING_STATE_ROLLUP_BDD[#Headers],0)),"ERROR"))</f>
        <v>193.75</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31</v>
      </c>
      <c r="D72" s="155">
        <f>IF($B72=" ","",IFERROR(INDEX(MMWR_RATING_STATE_ROLLUP_BDD[],MATCH($B72,MMWR_RATING_STATE_ROLLUP_BDD[MMWR_RATING_STATE_ROLLUP_BDD],0),MATCH(D$9,MMWR_RATING_STATE_ROLLUP_BDD[#Headers],0)),"ERROR"))</f>
        <v>92.129032258099997</v>
      </c>
      <c r="E72" s="156">
        <f>IF($B72=" ","",IFERROR(INDEX(MMWR_RATING_STATE_ROLLUP_BDD[],MATCH($B72,MMWR_RATING_STATE_ROLLUP_BDD[MMWR_RATING_STATE_ROLLUP_BDD],0),MATCH(E$9,MMWR_RATING_STATE_ROLLUP_BDD[#Headers],0))/$C72,"ERROR"))</f>
        <v>0.32258064516129031</v>
      </c>
      <c r="F72" s="154">
        <f>IF($B72=" ","",IFERROR(INDEX(MMWR_RATING_STATE_ROLLUP_BDD[],MATCH($B72,MMWR_RATING_STATE_ROLLUP_BDD[MMWR_RATING_STATE_ROLLUP_BDD],0),MATCH(F$9,MMWR_RATING_STATE_ROLLUP_BDD[#Headers],0)),"ERROR"))</f>
        <v>1</v>
      </c>
      <c r="G72" s="154">
        <f>IF($B72=" ","",IFERROR(INDEX(MMWR_RATING_STATE_ROLLUP_BDD[],MATCH($B72,MMWR_RATING_STATE_ROLLUP_BDD[MMWR_RATING_STATE_ROLLUP_BDD],0),MATCH(G$9,MMWR_RATING_STATE_ROLLUP_BDD[#Headers],0)),"ERROR"))</f>
        <v>10</v>
      </c>
      <c r="H72" s="155">
        <f>IF($B72=" ","",IFERROR(INDEX(MMWR_RATING_STATE_ROLLUP_BDD[],MATCH($B72,MMWR_RATING_STATE_ROLLUP_BDD[MMWR_RATING_STATE_ROLLUP_BDD],0),MATCH(H$9,MMWR_RATING_STATE_ROLLUP_BDD[#Headers],0)),"ERROR"))</f>
        <v>156</v>
      </c>
      <c r="I72" s="155">
        <f>IF($B72=" ","",IFERROR(INDEX(MMWR_RATING_STATE_ROLLUP_BDD[],MATCH($B72,MMWR_RATING_STATE_ROLLUP_BDD[MMWR_RATING_STATE_ROLLUP_BDD],0),MATCH(I$9,MMWR_RATING_STATE_ROLLUP_BDD[#Headers],0)),"ERROR"))</f>
        <v>126.6</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19</v>
      </c>
      <c r="D73" s="155">
        <f>IF($B73=" ","",IFERROR(INDEX(MMWR_RATING_STATE_ROLLUP_BDD[],MATCH($B73,MMWR_RATING_STATE_ROLLUP_BDD[MMWR_RATING_STATE_ROLLUP_BDD],0),MATCH(D$9,MMWR_RATING_STATE_ROLLUP_BDD[#Headers],0)),"ERROR"))</f>
        <v>89.631578947400001</v>
      </c>
      <c r="E73" s="156">
        <f>IF($B73=" ","",IFERROR(INDEX(MMWR_RATING_STATE_ROLLUP_BDD[],MATCH($B73,MMWR_RATING_STATE_ROLLUP_BDD[MMWR_RATING_STATE_ROLLUP_BDD],0),MATCH(E$9,MMWR_RATING_STATE_ROLLUP_BDD[#Headers],0))/$C73,"ERROR"))</f>
        <v>0.31578947368421051</v>
      </c>
      <c r="F73" s="154">
        <f>IF($B73=" ","",IFERROR(INDEX(MMWR_RATING_STATE_ROLLUP_BDD[],MATCH($B73,MMWR_RATING_STATE_ROLLUP_BDD[MMWR_RATING_STATE_ROLLUP_BDD],0),MATCH(F$9,MMWR_RATING_STATE_ROLLUP_BDD[#Headers],0)),"ERROR"))</f>
        <v>0</v>
      </c>
      <c r="G73" s="154">
        <f>IF($B73=" ","",IFERROR(INDEX(MMWR_RATING_STATE_ROLLUP_BDD[],MATCH($B73,MMWR_RATING_STATE_ROLLUP_BDD[MMWR_RATING_STATE_ROLLUP_BDD],0),MATCH(G$9,MMWR_RATING_STATE_ROLLUP_BDD[#Headers],0)),"ERROR"))</f>
        <v>8</v>
      </c>
      <c r="H73" s="155">
        <f>IF($B73=" ","",IFERROR(INDEX(MMWR_RATING_STATE_ROLLUP_BDD[],MATCH($B73,MMWR_RATING_STATE_ROLLUP_BDD[MMWR_RATING_STATE_ROLLUP_BDD],0),MATCH(H$9,MMWR_RATING_STATE_ROLLUP_BDD[#Headers],0)),"ERROR"))</f>
        <v>0</v>
      </c>
      <c r="I73" s="155">
        <f>IF($B73=" ","",IFERROR(INDEX(MMWR_RATING_STATE_ROLLUP_BDD[],MATCH($B73,MMWR_RATING_STATE_ROLLUP_BDD[MMWR_RATING_STATE_ROLLUP_BDD],0),MATCH(I$9,MMWR_RATING_STATE_ROLLUP_BDD[#Headers],0)),"ERROR"))</f>
        <v>167.625</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398</v>
      </c>
      <c r="D74" s="155">
        <f>IF($B74=" ","",IFERROR(INDEX(MMWR_RATING_STATE_ROLLUP_BDD[],MATCH($B74,MMWR_RATING_STATE_ROLLUP_BDD[MMWR_RATING_STATE_ROLLUP_BDD],0),MATCH(D$9,MMWR_RATING_STATE_ROLLUP_BDD[#Headers],0)),"ERROR"))</f>
        <v>83.517587939699993</v>
      </c>
      <c r="E74" s="156">
        <f>IF($B74=" ","",IFERROR(INDEX(MMWR_RATING_STATE_ROLLUP_BDD[],MATCH($B74,MMWR_RATING_STATE_ROLLUP_BDD[MMWR_RATING_STATE_ROLLUP_BDD],0),MATCH(E$9,MMWR_RATING_STATE_ROLLUP_BDD[#Headers],0))/$C74,"ERROR"))</f>
        <v>0.24371859296482412</v>
      </c>
      <c r="F74" s="154">
        <f>IF($B74=" ","",IFERROR(INDEX(MMWR_RATING_STATE_ROLLUP_BDD[],MATCH($B74,MMWR_RATING_STATE_ROLLUP_BDD[MMWR_RATING_STATE_ROLLUP_BDD],0),MATCH(F$9,MMWR_RATING_STATE_ROLLUP_BDD[#Headers],0)),"ERROR"))</f>
        <v>29</v>
      </c>
      <c r="G74" s="154">
        <f>IF($B74=" ","",IFERROR(INDEX(MMWR_RATING_STATE_ROLLUP_BDD[],MATCH($B74,MMWR_RATING_STATE_ROLLUP_BDD[MMWR_RATING_STATE_ROLLUP_BDD],0),MATCH(G$9,MMWR_RATING_STATE_ROLLUP_BDD[#Headers],0)),"ERROR"))</f>
        <v>104</v>
      </c>
      <c r="H74" s="155">
        <f>IF($B74=" ","",IFERROR(INDEX(MMWR_RATING_STATE_ROLLUP_BDD[],MATCH($B74,MMWR_RATING_STATE_ROLLUP_BDD[MMWR_RATING_STATE_ROLLUP_BDD],0),MATCH(H$9,MMWR_RATING_STATE_ROLLUP_BDD[#Headers],0)),"ERROR"))</f>
        <v>139.93103448279999</v>
      </c>
      <c r="I74" s="155">
        <f>IF($B74=" ","",IFERROR(INDEX(MMWR_RATING_STATE_ROLLUP_BDD[],MATCH($B74,MMWR_RATING_STATE_ROLLUP_BDD[MMWR_RATING_STATE_ROLLUP_BDD],0),MATCH(I$9,MMWR_RATING_STATE_ROLLUP_BDD[#Headers],0)),"ERROR"))</f>
        <v>142.7211538462</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53</v>
      </c>
      <c r="D75" s="155">
        <f>IF($B75=" ","",IFERROR(INDEX(MMWR_RATING_STATE_ROLLUP_BDD[],MATCH($B75,MMWR_RATING_STATE_ROLLUP_BDD[MMWR_RATING_STATE_ROLLUP_BDD],0),MATCH(D$9,MMWR_RATING_STATE_ROLLUP_BDD[#Headers],0)),"ERROR"))</f>
        <v>94.943396226399997</v>
      </c>
      <c r="E75" s="156">
        <f>IF($B75=" ","",IFERROR(INDEX(MMWR_RATING_STATE_ROLLUP_BDD[],MATCH($B75,MMWR_RATING_STATE_ROLLUP_BDD[MMWR_RATING_STATE_ROLLUP_BDD],0),MATCH(E$9,MMWR_RATING_STATE_ROLLUP_BDD[#Headers],0))/$C75,"ERROR"))</f>
        <v>0.22641509433962265</v>
      </c>
      <c r="F75" s="154">
        <f>IF($B75=" ","",IFERROR(INDEX(MMWR_RATING_STATE_ROLLUP_BDD[],MATCH($B75,MMWR_RATING_STATE_ROLLUP_BDD[MMWR_RATING_STATE_ROLLUP_BDD],0),MATCH(F$9,MMWR_RATING_STATE_ROLLUP_BDD[#Headers],0)),"ERROR"))</f>
        <v>3</v>
      </c>
      <c r="G75" s="154">
        <f>IF($B75=" ","",IFERROR(INDEX(MMWR_RATING_STATE_ROLLUP_BDD[],MATCH($B75,MMWR_RATING_STATE_ROLLUP_BDD[MMWR_RATING_STATE_ROLLUP_BDD],0),MATCH(G$9,MMWR_RATING_STATE_ROLLUP_BDD[#Headers],0)),"ERROR"))</f>
        <v>22</v>
      </c>
      <c r="H75" s="155">
        <f>IF($B75=" ","",IFERROR(INDEX(MMWR_RATING_STATE_ROLLUP_BDD[],MATCH($B75,MMWR_RATING_STATE_ROLLUP_BDD[MMWR_RATING_STATE_ROLLUP_BDD],0),MATCH(H$9,MMWR_RATING_STATE_ROLLUP_BDD[#Headers],0)),"ERROR"))</f>
        <v>59.666666666700003</v>
      </c>
      <c r="I75" s="155">
        <f>IF($B75=" ","",IFERROR(INDEX(MMWR_RATING_STATE_ROLLUP_BDD[],MATCH($B75,MMWR_RATING_STATE_ROLLUP_BDD[MMWR_RATING_STATE_ROLLUP_BDD],0),MATCH(I$9,MMWR_RATING_STATE_ROLLUP_BDD[#Headers],0)),"ERROR"))</f>
        <v>115.7272727273</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21</v>
      </c>
      <c r="D76" s="155">
        <f>IF($B76=" ","",IFERROR(INDEX(MMWR_RATING_STATE_ROLLUP_BDD[],MATCH($B76,MMWR_RATING_STATE_ROLLUP_BDD[MMWR_RATING_STATE_ROLLUP_BDD],0),MATCH(D$9,MMWR_RATING_STATE_ROLLUP_BDD[#Headers],0)),"ERROR"))</f>
        <v>72.476190476200003</v>
      </c>
      <c r="E76" s="156">
        <f>IF($B76=" ","",IFERROR(INDEX(MMWR_RATING_STATE_ROLLUP_BDD[],MATCH($B76,MMWR_RATING_STATE_ROLLUP_BDD[MMWR_RATING_STATE_ROLLUP_BDD],0),MATCH(E$9,MMWR_RATING_STATE_ROLLUP_BDD[#Headers],0))/$C76,"ERROR"))</f>
        <v>9.5238095238095233E-2</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11</v>
      </c>
      <c r="H76" s="155">
        <f>IF($B76=" ","",IFERROR(INDEX(MMWR_RATING_STATE_ROLLUP_BDD[],MATCH($B76,MMWR_RATING_STATE_ROLLUP_BDD[MMWR_RATING_STATE_ROLLUP_BDD],0),MATCH(H$9,MMWR_RATING_STATE_ROLLUP_BDD[#Headers],0)),"ERROR"))</f>
        <v>118</v>
      </c>
      <c r="I76" s="155">
        <f>IF($B76=" ","",IFERROR(INDEX(MMWR_RATING_STATE_ROLLUP_BDD[],MATCH($B76,MMWR_RATING_STATE_ROLLUP_BDD[MMWR_RATING_STATE_ROLLUP_BDD],0),MATCH(I$9,MMWR_RATING_STATE_ROLLUP_BDD[#Headers],0)),"ERROR"))</f>
        <v>150.63636363640001</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88</v>
      </c>
      <c r="D77" s="155">
        <f>IF($B77=" ","",IFERROR(INDEX(MMWR_RATING_STATE_ROLLUP_BDD[],MATCH($B77,MMWR_RATING_STATE_ROLLUP_BDD[MMWR_RATING_STATE_ROLLUP_BDD],0),MATCH(D$9,MMWR_RATING_STATE_ROLLUP_BDD[#Headers],0)),"ERROR"))</f>
        <v>81.772727272699996</v>
      </c>
      <c r="E77" s="156">
        <f>IF($B77=" ","",IFERROR(INDEX(MMWR_RATING_STATE_ROLLUP_BDD[],MATCH($B77,MMWR_RATING_STATE_ROLLUP_BDD[MMWR_RATING_STATE_ROLLUP_BDD],0),MATCH(E$9,MMWR_RATING_STATE_ROLLUP_BDD[#Headers],0))/$C77,"ERROR"))</f>
        <v>0.21590909090909091</v>
      </c>
      <c r="F77" s="154">
        <f>IF($B77=" ","",IFERROR(INDEX(MMWR_RATING_STATE_ROLLUP_BDD[],MATCH($B77,MMWR_RATING_STATE_ROLLUP_BDD[MMWR_RATING_STATE_ROLLUP_BDD],0),MATCH(F$9,MMWR_RATING_STATE_ROLLUP_BDD[#Headers],0)),"ERROR"))</f>
        <v>5</v>
      </c>
      <c r="G77" s="154">
        <f>IF($B77=" ","",IFERROR(INDEX(MMWR_RATING_STATE_ROLLUP_BDD[],MATCH($B77,MMWR_RATING_STATE_ROLLUP_BDD[MMWR_RATING_STATE_ROLLUP_BDD],0),MATCH(G$9,MMWR_RATING_STATE_ROLLUP_BDD[#Headers],0)),"ERROR"))</f>
        <v>37</v>
      </c>
      <c r="H77" s="155">
        <f>IF($B77=" ","",IFERROR(INDEX(MMWR_RATING_STATE_ROLLUP_BDD[],MATCH($B77,MMWR_RATING_STATE_ROLLUP_BDD[MMWR_RATING_STATE_ROLLUP_BDD],0),MATCH(H$9,MMWR_RATING_STATE_ROLLUP_BDD[#Headers],0)),"ERROR"))</f>
        <v>139.80000000000001</v>
      </c>
      <c r="I77" s="155">
        <f>IF($B77=" ","",IFERROR(INDEX(MMWR_RATING_STATE_ROLLUP_BDD[],MATCH($B77,MMWR_RATING_STATE_ROLLUP_BDD[MMWR_RATING_STATE_ROLLUP_BDD],0),MATCH(I$9,MMWR_RATING_STATE_ROLLUP_BDD[#Headers],0)),"ERROR"))</f>
        <v>128.43243243239999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157</v>
      </c>
      <c r="D78" s="155">
        <f>IF($B78=" ","",IFERROR(INDEX(MMWR_RATING_STATE_ROLLUP_BDD[],MATCH($B78,MMWR_RATING_STATE_ROLLUP_BDD[MMWR_RATING_STATE_ROLLUP_BDD],0),MATCH(D$9,MMWR_RATING_STATE_ROLLUP_BDD[#Headers],0)),"ERROR"))</f>
        <v>84.101910828000001</v>
      </c>
      <c r="E78" s="156">
        <f>IF($B78=" ","",IFERROR(INDEX(MMWR_RATING_STATE_ROLLUP_BDD[],MATCH($B78,MMWR_RATING_STATE_ROLLUP_BDD[MMWR_RATING_STATE_ROLLUP_BDD],0),MATCH(E$9,MMWR_RATING_STATE_ROLLUP_BDD[#Headers],0))/$C78,"ERROR"))</f>
        <v>0.24203821656050956</v>
      </c>
      <c r="F78" s="154">
        <f>IF($B78=" ","",IFERROR(INDEX(MMWR_RATING_STATE_ROLLUP_BDD[],MATCH($B78,MMWR_RATING_STATE_ROLLUP_BDD[MMWR_RATING_STATE_ROLLUP_BDD],0),MATCH(F$9,MMWR_RATING_STATE_ROLLUP_BDD[#Headers],0)),"ERROR"))</f>
        <v>14</v>
      </c>
      <c r="G78" s="154">
        <f>IF($B78=" ","",IFERROR(INDEX(MMWR_RATING_STATE_ROLLUP_BDD[],MATCH($B78,MMWR_RATING_STATE_ROLLUP_BDD[MMWR_RATING_STATE_ROLLUP_BDD],0),MATCH(G$9,MMWR_RATING_STATE_ROLLUP_BDD[#Headers],0)),"ERROR"))</f>
        <v>66</v>
      </c>
      <c r="H78" s="155">
        <f>IF($B78=" ","",IFERROR(INDEX(MMWR_RATING_STATE_ROLLUP_BDD[],MATCH($B78,MMWR_RATING_STATE_ROLLUP_BDD[MMWR_RATING_STATE_ROLLUP_BDD],0),MATCH(H$9,MMWR_RATING_STATE_ROLLUP_BDD[#Headers],0)),"ERROR"))</f>
        <v>133</v>
      </c>
      <c r="I78" s="155">
        <f>IF($B78=" ","",IFERROR(INDEX(MMWR_RATING_STATE_ROLLUP_BDD[],MATCH($B78,MMWR_RATING_STATE_ROLLUP_BDD[MMWR_RATING_STATE_ROLLUP_BDD],0),MATCH(I$9,MMWR_RATING_STATE_ROLLUP_BDD[#Headers],0)),"ERROR"))</f>
        <v>141.2727272727</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1314</v>
      </c>
      <c r="D79" s="155">
        <f>IF($B79=" ","",IFERROR(INDEX(MMWR_RATING_STATE_ROLLUP_BDD[],MATCH($B79,MMWR_RATING_STATE_ROLLUP_BDD[MMWR_RATING_STATE_ROLLUP_BDD],0),MATCH(D$9,MMWR_RATING_STATE_ROLLUP_BDD[#Headers],0)),"ERROR"))</f>
        <v>80.803652967999994</v>
      </c>
      <c r="E79" s="156">
        <f>IF($B79=" ","",IFERROR(INDEX(MMWR_RATING_STATE_ROLLUP_BDD[],MATCH($B79,MMWR_RATING_STATE_ROLLUP_BDD[MMWR_RATING_STATE_ROLLUP_BDD],0),MATCH(E$9,MMWR_RATING_STATE_ROLLUP_BDD[#Headers],0))/$C79,"ERROR"))</f>
        <v>0.20928462709284626</v>
      </c>
      <c r="F79" s="154">
        <f>IF($B79=" ","",IFERROR(INDEX(MMWR_RATING_STATE_ROLLUP_BDD[],MATCH($B79,MMWR_RATING_STATE_ROLLUP_BDD[MMWR_RATING_STATE_ROLLUP_BDD],0),MATCH(F$9,MMWR_RATING_STATE_ROLLUP_BDD[#Headers],0)),"ERROR"))</f>
        <v>52</v>
      </c>
      <c r="G79" s="154">
        <f>IF($B79=" ","",IFERROR(INDEX(MMWR_RATING_STATE_ROLLUP_BDD[],MATCH($B79,MMWR_RATING_STATE_ROLLUP_BDD[MMWR_RATING_STATE_ROLLUP_BDD],0),MATCH(G$9,MMWR_RATING_STATE_ROLLUP_BDD[#Headers],0)),"ERROR"))</f>
        <v>356</v>
      </c>
      <c r="H79" s="155">
        <f>IF($B79=" ","",IFERROR(INDEX(MMWR_RATING_STATE_ROLLUP_BDD[],MATCH($B79,MMWR_RATING_STATE_ROLLUP_BDD[MMWR_RATING_STATE_ROLLUP_BDD],0),MATCH(H$9,MMWR_RATING_STATE_ROLLUP_BDD[#Headers],0)),"ERROR"))</f>
        <v>143.2115384615</v>
      </c>
      <c r="I79" s="155">
        <f>IF($B79=" ","",IFERROR(INDEX(MMWR_RATING_STATE_ROLLUP_BDD[],MATCH($B79,MMWR_RATING_STATE_ROLLUP_BDD[MMWR_RATING_STATE_ROLLUP_BDD],0),MATCH(I$9,MMWR_RATING_STATE_ROLLUP_BDD[#Headers],0)),"ERROR"))</f>
        <v>140.43539325840001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140</v>
      </c>
      <c r="D80" s="155">
        <f>IF($B80=" ","",IFERROR(INDEX(MMWR_RATING_STATE_ROLLUP_BDD[],MATCH($B80,MMWR_RATING_STATE_ROLLUP_BDD[MMWR_RATING_STATE_ROLLUP_BDD],0),MATCH(D$9,MMWR_RATING_STATE_ROLLUP_BDD[#Headers],0)),"ERROR"))</f>
        <v>87.128571428599997</v>
      </c>
      <c r="E80" s="156">
        <f>IF($B80=" ","",IFERROR(INDEX(MMWR_RATING_STATE_ROLLUP_BDD[],MATCH($B80,MMWR_RATING_STATE_ROLLUP_BDD[MMWR_RATING_STATE_ROLLUP_BDD],0),MATCH(E$9,MMWR_RATING_STATE_ROLLUP_BDD[#Headers],0))/$C80,"ERROR"))</f>
        <v>0.20714285714285716</v>
      </c>
      <c r="F80" s="154">
        <f>IF($B80=" ","",IFERROR(INDEX(MMWR_RATING_STATE_ROLLUP_BDD[],MATCH($B80,MMWR_RATING_STATE_ROLLUP_BDD[MMWR_RATING_STATE_ROLLUP_BDD],0),MATCH(F$9,MMWR_RATING_STATE_ROLLUP_BDD[#Headers],0)),"ERROR"))</f>
        <v>13</v>
      </c>
      <c r="G80" s="154">
        <f>IF($B80=" ","",IFERROR(INDEX(MMWR_RATING_STATE_ROLLUP_BDD[],MATCH($B80,MMWR_RATING_STATE_ROLLUP_BDD[MMWR_RATING_STATE_ROLLUP_BDD],0),MATCH(G$9,MMWR_RATING_STATE_ROLLUP_BDD[#Headers],0)),"ERROR"))</f>
        <v>72</v>
      </c>
      <c r="H80" s="155">
        <f>IF($B80=" ","",IFERROR(INDEX(MMWR_RATING_STATE_ROLLUP_BDD[],MATCH($B80,MMWR_RATING_STATE_ROLLUP_BDD[MMWR_RATING_STATE_ROLLUP_BDD],0),MATCH(H$9,MMWR_RATING_STATE_ROLLUP_BDD[#Headers],0)),"ERROR"))</f>
        <v>145.30769230769999</v>
      </c>
      <c r="I80" s="155">
        <f>IF($B80=" ","",IFERROR(INDEX(MMWR_RATING_STATE_ROLLUP_BDD[],MATCH($B80,MMWR_RATING_STATE_ROLLUP_BDD[MMWR_RATING_STATE_ROLLUP_BDD],0),MATCH(I$9,MMWR_RATING_STATE_ROLLUP_BDD[#Headers],0)),"ERROR"))</f>
        <v>125.4166666667</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8</v>
      </c>
      <c r="D81" s="155">
        <f>IF($B81=" ","",IFERROR(INDEX(MMWR_RATING_STATE_ROLLUP_BDD[],MATCH($B81,MMWR_RATING_STATE_ROLLUP_BDD[MMWR_RATING_STATE_ROLLUP_BDD],0),MATCH(D$9,MMWR_RATING_STATE_ROLLUP_BDD[#Headers],0)),"ERROR"))</f>
        <v>91</v>
      </c>
      <c r="E81" s="156">
        <f>IF($B81=" ","",IFERROR(INDEX(MMWR_RATING_STATE_ROLLUP_BDD[],MATCH($B81,MMWR_RATING_STATE_ROLLUP_BDD[MMWR_RATING_STATE_ROLLUP_BDD],0),MATCH(E$9,MMWR_RATING_STATE_ROLLUP_BDD[#Headers],0))/$C81,"ERROR"))</f>
        <v>0.125</v>
      </c>
      <c r="F81" s="154">
        <f>IF($B81=" ","",IFERROR(INDEX(MMWR_RATING_STATE_ROLLUP_BDD[],MATCH($B81,MMWR_RATING_STATE_ROLLUP_BDD[MMWR_RATING_STATE_ROLLUP_BDD],0),MATCH(F$9,MMWR_RATING_STATE_ROLLUP_BDD[#Headers],0)),"ERROR"))</f>
        <v>2</v>
      </c>
      <c r="G81" s="154">
        <f>IF($B81=" ","",IFERROR(INDEX(MMWR_RATING_STATE_ROLLUP_BDD[],MATCH($B81,MMWR_RATING_STATE_ROLLUP_BDD[MMWR_RATING_STATE_ROLLUP_BDD],0),MATCH(G$9,MMWR_RATING_STATE_ROLLUP_BDD[#Headers],0)),"ERROR"))</f>
        <v>8</v>
      </c>
      <c r="H81" s="155">
        <f>IF($B81=" ","",IFERROR(INDEX(MMWR_RATING_STATE_ROLLUP_BDD[],MATCH($B81,MMWR_RATING_STATE_ROLLUP_BDD[MMWR_RATING_STATE_ROLLUP_BDD],0),MATCH(H$9,MMWR_RATING_STATE_ROLLUP_BDD[#Headers],0)),"ERROR"))</f>
        <v>93.5</v>
      </c>
      <c r="I81" s="155">
        <f>IF($B81=" ","",IFERROR(INDEX(MMWR_RATING_STATE_ROLLUP_BDD[],MATCH($B81,MMWR_RATING_STATE_ROLLUP_BDD[MMWR_RATING_STATE_ROLLUP_BDD],0),MATCH(I$9,MMWR_RATING_STATE_ROLLUP_BDD[#Headers],0)),"ERROR"))</f>
        <v>111.5</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4</v>
      </c>
      <c r="D82" s="155">
        <f>IF($B82=" ","",IFERROR(INDEX(MMWR_RATING_STATE_ROLLUP_BDD[],MATCH($B82,MMWR_RATING_STATE_ROLLUP_BDD[MMWR_RATING_STATE_ROLLUP_BDD],0),MATCH(D$9,MMWR_RATING_STATE_ROLLUP_BDD[#Headers],0)),"ERROR"))</f>
        <v>74.25</v>
      </c>
      <c r="E82" s="156">
        <f>IF($B82=" ","",IFERROR(INDEX(MMWR_RATING_STATE_ROLLUP_BDD[],MATCH($B82,MMWR_RATING_STATE_ROLLUP_BDD[MMWR_RATING_STATE_ROLLUP_BDD],0),MATCH(E$9,MMWR_RATING_STATE_ROLLUP_BDD[#Headers],0))/$C82,"ERROR"))</f>
        <v>0.25</v>
      </c>
      <c r="F82" s="154">
        <f>IF($B82=" ","",IFERROR(INDEX(MMWR_RATING_STATE_ROLLUP_BDD[],MATCH($B82,MMWR_RATING_STATE_ROLLUP_BDD[MMWR_RATING_STATE_ROLLUP_BDD],0),MATCH(F$9,MMWR_RATING_STATE_ROLLUP_BDD[#Headers],0)),"ERROR"))</f>
        <v>1</v>
      </c>
      <c r="G82" s="154">
        <f>IF($B82=" ","",IFERROR(INDEX(MMWR_RATING_STATE_ROLLUP_BDD[],MATCH($B82,MMWR_RATING_STATE_ROLLUP_BDD[MMWR_RATING_STATE_ROLLUP_BDD],0),MATCH(G$9,MMWR_RATING_STATE_ROLLUP_BDD[#Headers],0)),"ERROR"))</f>
        <v>5</v>
      </c>
      <c r="H82" s="155">
        <f>IF($B82=" ","",IFERROR(INDEX(MMWR_RATING_STATE_ROLLUP_BDD[],MATCH($B82,MMWR_RATING_STATE_ROLLUP_BDD[MMWR_RATING_STATE_ROLLUP_BDD],0),MATCH(H$9,MMWR_RATING_STATE_ROLLUP_BDD[#Headers],0)),"ERROR"))</f>
        <v>129</v>
      </c>
      <c r="I82" s="155">
        <f>IF($B82=" ","",IFERROR(INDEX(MMWR_RATING_STATE_ROLLUP_BDD[],MATCH($B82,MMWR_RATING_STATE_ROLLUP_BDD[MMWR_RATING_STATE_ROLLUP_BDD],0),MATCH(I$9,MMWR_RATING_STATE_ROLLUP_BDD[#Headers],0)),"ERROR"))</f>
        <v>93.2</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1302</v>
      </c>
      <c r="D83" s="155">
        <f>IF($B83=" ","",IFERROR(INDEX(MMWR_RATING_STATE_ROLLUP_BDD[],MATCH($B83,MMWR_RATING_STATE_ROLLUP_BDD[MMWR_RATING_STATE_ROLLUP_BDD],0),MATCH(D$9,MMWR_RATING_STATE_ROLLUP_BDD[#Headers],0)),"ERROR"))</f>
        <v>87.311059907800001</v>
      </c>
      <c r="E83" s="156">
        <f>IF($B83=" ","",IFERROR(INDEX(MMWR_RATING_STATE_ROLLUP_BDD[],MATCH($B83,MMWR_RATING_STATE_ROLLUP_BDD[MMWR_RATING_STATE_ROLLUP_BDD],0),MATCH(E$9,MMWR_RATING_STATE_ROLLUP_BDD[#Headers],0))/$C83,"ERROR"))</f>
        <v>0.24731182795698925</v>
      </c>
      <c r="F83" s="154">
        <f>IF($B83=" ","",IFERROR(INDEX(MMWR_RATING_STATE_ROLLUP_BDD[],MATCH($B83,MMWR_RATING_STATE_ROLLUP_BDD[MMWR_RATING_STATE_ROLLUP_BDD],0),MATCH(F$9,MMWR_RATING_STATE_ROLLUP_BDD[#Headers],0)),"ERROR"))</f>
        <v>64</v>
      </c>
      <c r="G83" s="154">
        <f>IF($B83=" ","",IFERROR(INDEX(MMWR_RATING_STATE_ROLLUP_BDD[],MATCH($B83,MMWR_RATING_STATE_ROLLUP_BDD[MMWR_RATING_STATE_ROLLUP_BDD],0),MATCH(G$9,MMWR_RATING_STATE_ROLLUP_BDD[#Headers],0)),"ERROR"))</f>
        <v>322</v>
      </c>
      <c r="H83" s="155">
        <f>IF($B83=" ","",IFERROR(INDEX(MMWR_RATING_STATE_ROLLUP_BDD[],MATCH($B83,MMWR_RATING_STATE_ROLLUP_BDD[MMWR_RATING_STATE_ROLLUP_BDD],0),MATCH(H$9,MMWR_RATING_STATE_ROLLUP_BDD[#Headers],0)),"ERROR"))</f>
        <v>151.53125</v>
      </c>
      <c r="I83" s="155">
        <f>IF($B83=" ","",IFERROR(INDEX(MMWR_RATING_STATE_ROLLUP_BDD[],MATCH($B83,MMWR_RATING_STATE_ROLLUP_BDD[MMWR_RATING_STATE_ROLLUP_BDD],0),MATCH(I$9,MMWR_RATING_STATE_ROLLUP_BDD[#Headers],0)),"ERROR"))</f>
        <v>148.900621118</v>
      </c>
      <c r="J83" s="42"/>
      <c r="K83" s="42"/>
      <c r="L83" s="42"/>
      <c r="M83" s="42"/>
      <c r="N83" s="28"/>
    </row>
    <row r="84" spans="1:14" x14ac:dyDescent="0.2">
      <c r="A84" s="25"/>
      <c r="B84" s="250" t="str">
        <f>VLOOKUP($B$15,DISTRICT_STATES[],16,0)</f>
        <v>West Virginia</v>
      </c>
      <c r="C84" s="154">
        <f>IF($B84=" ","",IFERROR(INDEX(MMWR_RATING_STATE_ROLLUP_BDD[],MATCH($B84,MMWR_RATING_STATE_ROLLUP_BDD[MMWR_RATING_STATE_ROLLUP_BDD],0),MATCH(C$9,MMWR_RATING_STATE_ROLLUP_BDD[#Headers],0)),"ERROR"))</f>
        <v>32</v>
      </c>
      <c r="D84" s="155">
        <f>IF($B84=" ","",IFERROR(INDEX(MMWR_RATING_STATE_ROLLUP_BDD[],MATCH($B84,MMWR_RATING_STATE_ROLLUP_BDD[MMWR_RATING_STATE_ROLLUP_BDD],0),MATCH(D$9,MMWR_RATING_STATE_ROLLUP_BDD[#Headers],0)),"ERROR"))</f>
        <v>94.40625</v>
      </c>
      <c r="E84" s="156">
        <f>IF($B84=" ","",IFERROR(INDEX(MMWR_RATING_STATE_ROLLUP_BDD[],MATCH($B84,MMWR_RATING_STATE_ROLLUP_BDD[MMWR_RATING_STATE_ROLLUP_BDD],0),MATCH(E$9,MMWR_RATING_STATE_ROLLUP_BDD[#Headers],0))/$C84,"ERROR"))</f>
        <v>0.28125</v>
      </c>
      <c r="F84" s="154">
        <f>IF($B84=" ","",IFERROR(INDEX(MMWR_RATING_STATE_ROLLUP_BDD[],MATCH($B84,MMWR_RATING_STATE_ROLLUP_BDD[MMWR_RATING_STATE_ROLLUP_BDD],0),MATCH(F$9,MMWR_RATING_STATE_ROLLUP_BDD[#Headers],0)),"ERROR"))</f>
        <v>3</v>
      </c>
      <c r="G84" s="154">
        <f>IF($B84=" ","",IFERROR(INDEX(MMWR_RATING_STATE_ROLLUP_BDD[],MATCH($B84,MMWR_RATING_STATE_ROLLUP_BDD[MMWR_RATING_STATE_ROLLUP_BDD],0),MATCH(G$9,MMWR_RATING_STATE_ROLLUP_BDD[#Headers],0)),"ERROR"))</f>
        <v>10</v>
      </c>
      <c r="H84" s="155">
        <f>IF($B84=" ","",IFERROR(INDEX(MMWR_RATING_STATE_ROLLUP_BDD[],MATCH($B84,MMWR_RATING_STATE_ROLLUP_BDD[MMWR_RATING_STATE_ROLLUP_BDD],0),MATCH(H$9,MMWR_RATING_STATE_ROLLUP_BDD[#Headers],0)),"ERROR"))</f>
        <v>138</v>
      </c>
      <c r="I84" s="155">
        <f>IF($B84=" ","",IFERROR(INDEX(MMWR_RATING_STATE_ROLLUP_BDD[],MATCH($B84,MMWR_RATING_STATE_ROLLUP_BDD[MMWR_RATING_STATE_ROLLUP_BDD],0),MATCH(I$9,MMWR_RATING_STATE_ROLLUP_BDD[#Headers],0)),"ERROR"))</f>
        <v>132.5</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3" t="s">
        <v>302</v>
      </c>
      <c r="C2" s="424"/>
      <c r="D2" s="424"/>
      <c r="E2" s="424"/>
      <c r="F2" s="424"/>
      <c r="G2" s="424"/>
      <c r="H2" s="424"/>
      <c r="I2" s="424"/>
      <c r="J2" s="424"/>
      <c r="K2" s="424"/>
      <c r="L2" s="424"/>
      <c r="M2" s="424"/>
      <c r="N2" s="424"/>
      <c r="O2" s="424"/>
      <c r="P2" s="424"/>
      <c r="Q2" s="424"/>
      <c r="R2" s="424"/>
      <c r="S2" s="424"/>
      <c r="T2" s="424"/>
      <c r="U2" s="425"/>
      <c r="V2" s="25"/>
    </row>
    <row r="3" spans="1:22" s="1" customFormat="1" ht="63" customHeight="1" thickBot="1" x14ac:dyDescent="0.25">
      <c r="A3" s="25"/>
      <c r="B3" s="432" t="s">
        <v>317</v>
      </c>
      <c r="C3" s="433"/>
      <c r="D3" s="433"/>
      <c r="E3" s="433"/>
      <c r="F3" s="433"/>
      <c r="G3" s="433"/>
      <c r="H3" s="433"/>
      <c r="I3" s="433"/>
      <c r="J3" s="433"/>
      <c r="K3" s="433"/>
      <c r="L3" s="433"/>
      <c r="M3" s="433"/>
      <c r="N3" s="433"/>
      <c r="O3" s="433"/>
      <c r="P3" s="433"/>
      <c r="Q3" s="433"/>
      <c r="R3" s="433"/>
      <c r="S3" s="433"/>
      <c r="T3" s="433"/>
      <c r="U3" s="434"/>
      <c r="V3" s="25"/>
    </row>
    <row r="4" spans="1:22" s="1" customFormat="1" ht="32.25" customHeight="1" thickBot="1" x14ac:dyDescent="0.25">
      <c r="A4" s="25"/>
      <c r="B4" s="429" t="str">
        <f>Transformation!B4</f>
        <v>As of: December 12, 2015</v>
      </c>
      <c r="C4" s="430"/>
      <c r="D4" s="430"/>
      <c r="E4" s="430"/>
      <c r="F4" s="430"/>
      <c r="G4" s="430"/>
      <c r="H4" s="430"/>
      <c r="I4" s="430"/>
      <c r="J4" s="430"/>
      <c r="K4" s="430"/>
      <c r="L4" s="430"/>
      <c r="M4" s="430"/>
      <c r="N4" s="430"/>
      <c r="O4" s="430"/>
      <c r="P4" s="430"/>
      <c r="Q4" s="430"/>
      <c r="R4" s="430"/>
      <c r="S4" s="430"/>
      <c r="T4" s="430"/>
      <c r="U4" s="431"/>
      <c r="V4" s="25"/>
    </row>
    <row r="5" spans="1:22" s="1" customFormat="1" ht="27" customHeight="1" thickBot="1" x14ac:dyDescent="0.45">
      <c r="A5" s="25"/>
      <c r="B5" s="435" t="s">
        <v>245</v>
      </c>
      <c r="C5" s="436"/>
      <c r="D5" s="436"/>
      <c r="E5" s="436"/>
      <c r="F5" s="436"/>
      <c r="G5" s="436"/>
      <c r="H5" s="437"/>
      <c r="I5" s="55"/>
      <c r="J5" s="435" t="s">
        <v>242</v>
      </c>
      <c r="K5" s="436"/>
      <c r="L5" s="436"/>
      <c r="M5" s="436"/>
      <c r="N5" s="437"/>
      <c r="O5" s="56"/>
      <c r="P5" s="407" t="s">
        <v>11</v>
      </c>
      <c r="Q5" s="408"/>
      <c r="R5" s="408"/>
      <c r="S5" s="408"/>
      <c r="T5" s="408"/>
      <c r="U5" s="409"/>
      <c r="V5" s="25"/>
    </row>
    <row r="6" spans="1:22" s="1" customFormat="1" ht="65.25" customHeight="1" thickBot="1" x14ac:dyDescent="0.25">
      <c r="A6" s="25"/>
      <c r="B6" s="426" t="s">
        <v>285</v>
      </c>
      <c r="C6" s="427"/>
      <c r="D6" s="427"/>
      <c r="E6" s="428"/>
      <c r="F6" s="57" t="s">
        <v>12</v>
      </c>
      <c r="G6" s="58" t="s">
        <v>3</v>
      </c>
      <c r="H6" s="59" t="s">
        <v>4</v>
      </c>
      <c r="I6" s="25"/>
      <c r="J6" s="446" t="s">
        <v>285</v>
      </c>
      <c r="K6" s="447"/>
      <c r="L6" s="60" t="s">
        <v>12</v>
      </c>
      <c r="M6" s="61" t="s">
        <v>3</v>
      </c>
      <c r="N6" s="62" t="s">
        <v>4</v>
      </c>
      <c r="O6" s="63"/>
      <c r="P6" s="438" t="s">
        <v>285</v>
      </c>
      <c r="Q6" s="439"/>
      <c r="R6" s="64" t="s">
        <v>495</v>
      </c>
      <c r="S6" s="441" t="s">
        <v>285</v>
      </c>
      <c r="T6" s="442"/>
      <c r="U6" s="65" t="s">
        <v>140</v>
      </c>
      <c r="V6" s="25"/>
    </row>
    <row r="7" spans="1:22" s="1" customFormat="1" ht="32.25" customHeight="1" thickBot="1" x14ac:dyDescent="0.25">
      <c r="A7" s="25"/>
      <c r="B7" s="410" t="s">
        <v>304</v>
      </c>
      <c r="C7" s="411"/>
      <c r="D7" s="411"/>
      <c r="E7" s="411"/>
      <c r="F7" s="167">
        <f>SUM(F8:F10)</f>
        <v>123536</v>
      </c>
      <c r="G7" s="168">
        <f>SUM(G8:G10)</f>
        <v>32906</v>
      </c>
      <c r="H7" s="169">
        <f t="shared" ref="H7:H44" si="0">IF(G7="--", 0, G7/F7)</f>
        <v>0.26636769848465225</v>
      </c>
      <c r="I7" s="25"/>
      <c r="J7" s="410" t="s">
        <v>270</v>
      </c>
      <c r="K7" s="411"/>
      <c r="L7" s="168">
        <f>SUM(L8:L10)</f>
        <v>32932</v>
      </c>
      <c r="M7" s="168">
        <f>SUM(M8:M10)</f>
        <v>4662</v>
      </c>
      <c r="N7" s="179">
        <f>IF(M7="--", 0, M7/L7)</f>
        <v>0.14156443580711769</v>
      </c>
      <c r="O7" s="66"/>
      <c r="P7" s="410" t="s">
        <v>973</v>
      </c>
      <c r="Q7" s="411"/>
      <c r="R7" s="180">
        <f>R8+R9+R10+R11+R12</f>
        <v>324567</v>
      </c>
      <c r="S7" s="410"/>
      <c r="T7" s="411"/>
      <c r="U7" s="67"/>
      <c r="V7" s="25"/>
    </row>
    <row r="8" spans="1:22" s="1" customFormat="1" ht="51" customHeight="1" x14ac:dyDescent="0.2">
      <c r="A8" s="25"/>
      <c r="B8" s="323" t="s">
        <v>255</v>
      </c>
      <c r="C8" s="324"/>
      <c r="D8" s="324"/>
      <c r="E8" s="403"/>
      <c r="F8" s="170">
        <f>IFERROR(VLOOKUP(MID(B8,4,3),MMWR_TRAD_AGG_NATIONAL[],2,0),"--")</f>
        <v>317</v>
      </c>
      <c r="G8" s="171">
        <f>IFERROR(VLOOKUP(MID(B8,4,3),MMWR_TRAD_AGG_NATIONAL[],3,0),"--")</f>
        <v>189</v>
      </c>
      <c r="H8" s="172">
        <f t="shared" si="0"/>
        <v>0.59621451104100942</v>
      </c>
      <c r="I8" s="25"/>
      <c r="J8" s="421" t="s">
        <v>272</v>
      </c>
      <c r="K8" s="440"/>
      <c r="L8" s="170">
        <f>IFERROR(VLOOKUP(MID(J8,4,3),MMWR_TRAD_AGG_NATIONAL[],2,0),"--")</f>
        <v>8451</v>
      </c>
      <c r="M8" s="171">
        <f>IFERROR(VLOOKUP(MID(J8,4,3),MMWR_TRAD_AGG_NATIONAL[],3,0),"--")</f>
        <v>377</v>
      </c>
      <c r="N8" s="172">
        <f>IF(M8="--", 0, M8/L8)</f>
        <v>4.4610105312980715E-2</v>
      </c>
      <c r="O8" s="68" t="s">
        <v>316</v>
      </c>
      <c r="P8" s="443" t="s">
        <v>246</v>
      </c>
      <c r="Q8" s="444"/>
      <c r="R8" s="181">
        <f>VLOOKUP(P8,MMWR_APP_NATIONAL[],2,0)</f>
        <v>233676</v>
      </c>
      <c r="S8" s="445" t="s">
        <v>235</v>
      </c>
      <c r="T8" s="422"/>
      <c r="U8" s="182">
        <f>VLOOKUP(P8,MMWR_APP_NATIONAL[],3,0)</f>
        <v>396.59235404380001</v>
      </c>
      <c r="V8" s="25"/>
    </row>
    <row r="9" spans="1:22" s="1" customFormat="1" ht="45" customHeight="1" x14ac:dyDescent="0.2">
      <c r="A9" s="25"/>
      <c r="B9" s="323" t="s">
        <v>253</v>
      </c>
      <c r="C9" s="324"/>
      <c r="D9" s="324"/>
      <c r="E9" s="403"/>
      <c r="F9" s="170">
        <f>IFERROR(VLOOKUP(MID(B9,4,3),MMWR_TRAD_AGG_NATIONAL[],2,0),"--")</f>
        <v>41537</v>
      </c>
      <c r="G9" s="171">
        <f>IFERROR(VLOOKUP(MID(B9,4,3),MMWR_TRAD_AGG_NATIONAL[],3,0),"--")</f>
        <v>12616</v>
      </c>
      <c r="H9" s="172">
        <f t="shared" si="0"/>
        <v>0.30372920528685271</v>
      </c>
      <c r="I9" s="68" t="s">
        <v>316</v>
      </c>
      <c r="J9" s="323" t="s">
        <v>271</v>
      </c>
      <c r="K9" s="324"/>
      <c r="L9" s="170">
        <f>IFERROR(VLOOKUP(MID(J9,4,3),MMWR_TRAD_AGG_NATIONAL[],2,0),"--")</f>
        <v>7937</v>
      </c>
      <c r="M9" s="171">
        <f>IFERROR(VLOOKUP(MID(J9,4,3),MMWR_TRAD_AGG_NATIONAL[],3,0),"--")</f>
        <v>309</v>
      </c>
      <c r="N9" s="172">
        <f>IF(M9="--", 0, M9/L9)</f>
        <v>3.8931586241653014E-2</v>
      </c>
      <c r="O9" s="68" t="s">
        <v>316</v>
      </c>
      <c r="P9" s="401" t="s">
        <v>247</v>
      </c>
      <c r="Q9" s="402"/>
      <c r="R9" s="183">
        <f>VLOOKUP(P9,MMWR_APP_NATIONAL[],2,0)</f>
        <v>54502</v>
      </c>
      <c r="S9" s="397" t="s">
        <v>236</v>
      </c>
      <c r="T9" s="398"/>
      <c r="U9" s="184">
        <f>VLOOKUP(P9,MMWR_APP_NATIONAL[],3,0)</f>
        <v>613.48990862719995</v>
      </c>
      <c r="V9" s="25"/>
    </row>
    <row r="10" spans="1:22" s="1" customFormat="1" ht="63" customHeight="1" thickBot="1" x14ac:dyDescent="0.25">
      <c r="A10" s="25"/>
      <c r="B10" s="323" t="s">
        <v>254</v>
      </c>
      <c r="C10" s="324"/>
      <c r="D10" s="324"/>
      <c r="E10" s="403"/>
      <c r="F10" s="170">
        <f>IFERROR(VLOOKUP(MID(B10,4,3),MMWR_TRAD_AGG_NATIONAL[],2,0),"--")</f>
        <v>81682</v>
      </c>
      <c r="G10" s="171">
        <f>IFERROR(VLOOKUP(MID(B10,4,3),MMWR_TRAD_AGG_NATIONAL[],3,0),"--")</f>
        <v>20101</v>
      </c>
      <c r="H10" s="172">
        <f t="shared" si="0"/>
        <v>0.24608848950809237</v>
      </c>
      <c r="I10" s="68" t="s">
        <v>316</v>
      </c>
      <c r="J10" s="325" t="s">
        <v>273</v>
      </c>
      <c r="K10" s="326"/>
      <c r="L10" s="170">
        <f>IFERROR(VLOOKUP(MID(J10,4,3),MMWR_TRAD_AGG_NATIONAL[],2,0),"--")</f>
        <v>16544</v>
      </c>
      <c r="M10" s="171">
        <f>IFERROR(VLOOKUP(MID(J10,4,3),MMWR_TRAD_AGG_NATIONAL[],3,0),"--")</f>
        <v>3976</v>
      </c>
      <c r="N10" s="172">
        <f>IF(M10="--", 0, M10/L10)</f>
        <v>0.24032882011605416</v>
      </c>
      <c r="O10" s="69"/>
      <c r="P10" s="401" t="s">
        <v>248</v>
      </c>
      <c r="Q10" s="402"/>
      <c r="R10" s="183">
        <f>VLOOKUP(P10,MMWR_APP_NATIONAL[],2,0)</f>
        <v>25032</v>
      </c>
      <c r="S10" s="397" t="s">
        <v>237</v>
      </c>
      <c r="T10" s="398"/>
      <c r="U10" s="184">
        <f>VLOOKUP(P10,MMWR_APP_NATIONAL[],3,0)</f>
        <v>515.49814200660001</v>
      </c>
      <c r="V10" s="25"/>
    </row>
    <row r="11" spans="1:22" s="1" customFormat="1" ht="45" customHeight="1" thickBot="1" x14ac:dyDescent="0.25">
      <c r="A11" s="25"/>
      <c r="B11" s="410" t="s">
        <v>305</v>
      </c>
      <c r="C11" s="411"/>
      <c r="D11" s="411"/>
      <c r="E11" s="411"/>
      <c r="F11" s="167">
        <f>SUM(F12:F13)</f>
        <v>8426</v>
      </c>
      <c r="G11" s="168">
        <f>SUM(G12:G13)</f>
        <v>1639</v>
      </c>
      <c r="H11" s="169">
        <f t="shared" si="0"/>
        <v>0.19451697127937337</v>
      </c>
      <c r="I11" s="25"/>
      <c r="J11" s="410" t="s">
        <v>243</v>
      </c>
      <c r="K11" s="411"/>
      <c r="L11" s="167">
        <f>SUM(L12:L17)</f>
        <v>26946</v>
      </c>
      <c r="M11" s="167">
        <f>SUM(M12:M17)</f>
        <v>6762</v>
      </c>
      <c r="N11" s="160">
        <f>IF(M11="--", 0, M11/L11)</f>
        <v>0.25094633711868181</v>
      </c>
      <c r="O11" s="69"/>
      <c r="P11" s="401" t="s">
        <v>974</v>
      </c>
      <c r="Q11" s="402"/>
      <c r="R11" s="183">
        <f>VLOOKUP(P11,MMWR_APP_NATIONAL[],2,0)</f>
        <v>10916</v>
      </c>
      <c r="S11" s="397" t="s">
        <v>238</v>
      </c>
      <c r="T11" s="398"/>
      <c r="U11" s="184">
        <f>VLOOKUP(P11,MMWR_APP_NATIONAL[],3,0)</f>
        <v>179.75387152939999</v>
      </c>
      <c r="V11" s="25"/>
    </row>
    <row r="12" spans="1:22" s="1" customFormat="1" ht="46.5" customHeight="1" thickBot="1" x14ac:dyDescent="0.25">
      <c r="A12" s="25"/>
      <c r="B12" s="404" t="s">
        <v>275</v>
      </c>
      <c r="C12" s="405"/>
      <c r="D12" s="405"/>
      <c r="E12" s="406"/>
      <c r="F12" s="170">
        <f>IFERROR(VLOOKUP(MID(B12,4,3),MMWR_TRAD_AGG_NATIONAL[],2,0),"--")</f>
        <v>7957</v>
      </c>
      <c r="G12" s="171">
        <f>IFERROR(VLOOKUP(MID(B12,4,3),MMWR_TRAD_AGG_NATIONAL[],3,0),"--")</f>
        <v>1304</v>
      </c>
      <c r="H12" s="172">
        <f t="shared" si="0"/>
        <v>0.16388085962045998</v>
      </c>
      <c r="I12" s="68" t="s">
        <v>316</v>
      </c>
      <c r="J12" s="325" t="s">
        <v>265</v>
      </c>
      <c r="K12" s="398"/>
      <c r="L12" s="170">
        <f>IFERROR(VLOOKUP(MID(J12,4,3)&amp;"p",MMWR_TRAD_AGG_NATIONAL[],2,0),"--")</f>
        <v>1398</v>
      </c>
      <c r="M12" s="171">
        <f>IFERROR(VLOOKUP(MID(J12,4,3)&amp;"p",MMWR_TRAD_AGG_NATIONAL[],3,0),"--")</f>
        <v>272</v>
      </c>
      <c r="N12" s="172">
        <f t="shared" ref="N12:N17" si="1">IF(L12="--", 0,M12/L12)</f>
        <v>0.19456366237482117</v>
      </c>
      <c r="O12" s="69"/>
      <c r="P12" s="401" t="s">
        <v>955</v>
      </c>
      <c r="Q12" s="402"/>
      <c r="R12" s="183">
        <f>VLOOKUP(P12,MMWR_APP_NATIONAL[],2,0)</f>
        <v>441</v>
      </c>
      <c r="S12" s="399" t="s">
        <v>972</v>
      </c>
      <c r="T12" s="400"/>
      <c r="U12" s="184">
        <f>VLOOKUP(P12,MMWR_APP_NATIONAL[],3,0)</f>
        <v>462.37868480729998</v>
      </c>
      <c r="V12" s="25"/>
    </row>
    <row r="13" spans="1:22" s="1" customFormat="1" ht="49.5" customHeight="1" thickBot="1" x14ac:dyDescent="0.25">
      <c r="A13" s="25"/>
      <c r="B13" s="404" t="s">
        <v>1065</v>
      </c>
      <c r="C13" s="405"/>
      <c r="D13" s="405"/>
      <c r="E13" s="406"/>
      <c r="F13" s="170">
        <f>IFERROR(VLOOKUP(MID(B13,4,3),MMWR_TRAD_AGG_NATIONAL[],2,0),"--")</f>
        <v>469</v>
      </c>
      <c r="G13" s="171">
        <f>IFERROR(VLOOKUP(MID(B13,4,3),MMWR_TRAD_AGG_NATIONAL[],3,0),"--")</f>
        <v>335</v>
      </c>
      <c r="H13" s="172">
        <f t="shared" si="0"/>
        <v>0.7142857142857143</v>
      </c>
      <c r="I13" s="25"/>
      <c r="J13" s="325" t="s">
        <v>274</v>
      </c>
      <c r="K13" s="398"/>
      <c r="L13" s="170">
        <f>IFERROR(VLOOKUP(MID(J13,4,3),MMWR_TRAD_AGG_NATIONAL[],2,0),"--")</f>
        <v>4050</v>
      </c>
      <c r="M13" s="171">
        <f>IFERROR(VLOOKUP(MID(J13,4,3),MMWR_TRAD_AGG_NATIONAL[],3,0),"--")</f>
        <v>915</v>
      </c>
      <c r="N13" s="172">
        <f t="shared" si="1"/>
        <v>0.22592592592592592</v>
      </c>
      <c r="O13" s="69"/>
      <c r="P13" s="410" t="s">
        <v>984</v>
      </c>
      <c r="Q13" s="411"/>
      <c r="R13" s="412"/>
      <c r="S13" s="413">
        <f>VLOOKUP(P13,MMWR_APP_NATIONAL[],2,0)</f>
        <v>20743</v>
      </c>
      <c r="T13" s="414"/>
      <c r="U13" s="415"/>
      <c r="V13" s="25"/>
    </row>
    <row r="14" spans="1:22" s="1" customFormat="1" ht="45" customHeight="1" thickBot="1" x14ac:dyDescent="0.25">
      <c r="A14" s="25"/>
      <c r="B14" s="410" t="s">
        <v>1</v>
      </c>
      <c r="C14" s="411"/>
      <c r="D14" s="411"/>
      <c r="E14" s="411"/>
      <c r="F14" s="167">
        <f>SUM(F15:F21)</f>
        <v>203262</v>
      </c>
      <c r="G14" s="168">
        <f>SUM(G15:G21)</f>
        <v>39406</v>
      </c>
      <c r="H14" s="169">
        <f t="shared" si="0"/>
        <v>0.19386801271265658</v>
      </c>
      <c r="I14" s="25"/>
      <c r="J14" s="325" t="s">
        <v>276</v>
      </c>
      <c r="K14" s="398"/>
      <c r="L14" s="170">
        <f>IFERROR(VLOOKUP(MID(J14,4,3),MMWR_TRAD_AGG_NATIONAL[],2,0),"--")</f>
        <v>11040</v>
      </c>
      <c r="M14" s="171">
        <f>IFERROR(VLOOKUP(MID(J14,4,3),MMWR_TRAD_AGG_NATIONAL[],3,0),"--")</f>
        <v>3008</v>
      </c>
      <c r="N14" s="172">
        <f t="shared" si="1"/>
        <v>0.27246376811594203</v>
      </c>
      <c r="O14" s="69"/>
      <c r="P14" s="21"/>
      <c r="Q14" s="21"/>
      <c r="R14" s="21"/>
      <c r="S14" s="28"/>
      <c r="T14" s="28"/>
      <c r="U14" s="70"/>
      <c r="V14" s="25"/>
    </row>
    <row r="15" spans="1:22" s="1" customFormat="1" ht="44.25" customHeight="1" thickBot="1" x14ac:dyDescent="0.25">
      <c r="A15" s="25"/>
      <c r="B15" s="323" t="s">
        <v>256</v>
      </c>
      <c r="C15" s="324"/>
      <c r="D15" s="324"/>
      <c r="E15" s="403"/>
      <c r="F15" s="170">
        <f>IFERROR(VLOOKUP(MID(B15,4,3),MMWR_TRAD_AGG_NATIONAL[],2,0),"--")</f>
        <v>202560</v>
      </c>
      <c r="G15" s="171">
        <f>IFERROR(VLOOKUP(MID(B15,4,3),MMWR_TRAD_AGG_NATIONAL[],3,0),"--")</f>
        <v>39124</v>
      </c>
      <c r="H15" s="172">
        <f t="shared" si="0"/>
        <v>0.19314770932069511</v>
      </c>
      <c r="I15" s="68" t="s">
        <v>316</v>
      </c>
      <c r="J15" s="325" t="s">
        <v>277</v>
      </c>
      <c r="K15" s="398"/>
      <c r="L15" s="170">
        <f>IFERROR(VLOOKUP(MID(J15,4,3),MMWR_TRAD_AGG_NATIONAL[],2,0),"--")</f>
        <v>1</v>
      </c>
      <c r="M15" s="171">
        <f>IFERROR(VLOOKUP(MID(J15,4,3),MMWR_TRAD_AGG_NATIONAL[],3,0),"--")</f>
        <v>1</v>
      </c>
      <c r="N15" s="172">
        <f t="shared" si="1"/>
        <v>1</v>
      </c>
      <c r="O15" s="69"/>
      <c r="P15" s="25"/>
      <c r="Q15" s="25"/>
      <c r="R15" s="25"/>
      <c r="S15" s="25"/>
      <c r="T15" s="28"/>
      <c r="U15" s="71"/>
      <c r="V15" s="25"/>
    </row>
    <row r="16" spans="1:22" s="1" customFormat="1" ht="57.75" customHeight="1" thickBot="1" x14ac:dyDescent="0.25">
      <c r="A16" s="25"/>
      <c r="B16" s="325" t="s">
        <v>257</v>
      </c>
      <c r="C16" s="326"/>
      <c r="D16" s="326"/>
      <c r="E16" s="398"/>
      <c r="F16" s="170">
        <f>IFERROR(VLOOKUP(MID(B16,4,3),MMWR_TRAD_AGG_NATIONAL[],2,0),"--")</f>
        <v>526</v>
      </c>
      <c r="G16" s="171">
        <f>IFERROR(VLOOKUP(MID(B16,4,3),MMWR_TRAD_AGG_NATIONAL[],3,0),"--")</f>
        <v>134</v>
      </c>
      <c r="H16" s="172">
        <f t="shared" si="0"/>
        <v>0.25475285171102663</v>
      </c>
      <c r="I16" s="68" t="s">
        <v>316</v>
      </c>
      <c r="J16" s="325" t="s">
        <v>278</v>
      </c>
      <c r="K16" s="398"/>
      <c r="L16" s="170">
        <f>IFERROR(VLOOKUP(MID(J16,4,3),MMWR_TRAD_AGG_NATIONAL[],2,0),"--")</f>
        <v>3368</v>
      </c>
      <c r="M16" s="171">
        <f>IFERROR(VLOOKUP(MID(J16,4,3),MMWR_TRAD_AGG_NATIONAL[],3,0),"--")</f>
        <v>1219</v>
      </c>
      <c r="N16" s="172">
        <f t="shared" si="1"/>
        <v>0.36193586698337293</v>
      </c>
      <c r="O16" s="69"/>
      <c r="P16" s="407" t="s">
        <v>956</v>
      </c>
      <c r="Q16" s="408"/>
      <c r="R16" s="408"/>
      <c r="S16" s="409"/>
      <c r="T16" s="28"/>
      <c r="U16" s="71"/>
      <c r="V16" s="25"/>
    </row>
    <row r="17" spans="1:22" s="1" customFormat="1" ht="31.5" customHeight="1" thickBot="1" x14ac:dyDescent="0.25">
      <c r="A17" s="25"/>
      <c r="B17" s="325" t="s">
        <v>258</v>
      </c>
      <c r="C17" s="326"/>
      <c r="D17" s="326"/>
      <c r="E17" s="398"/>
      <c r="F17" s="170">
        <f>IFERROR(VLOOKUP(MID(B17,4,3),MMWR_TRAD_AGG_NATIONAL[],2,0),"--")</f>
        <v>158</v>
      </c>
      <c r="G17" s="171">
        <f>IFERROR(VLOOKUP(MID(B17,4,3),MMWR_TRAD_AGG_NATIONAL[],3,0),"--")</f>
        <v>140</v>
      </c>
      <c r="H17" s="172">
        <f t="shared" si="0"/>
        <v>0.88607594936708856</v>
      </c>
      <c r="I17" s="25"/>
      <c r="J17" s="325" t="s">
        <v>279</v>
      </c>
      <c r="K17" s="398"/>
      <c r="L17" s="170">
        <f>IFERROR(VLOOKUP(MID(J17,4,3),MMWR_TRAD_AGG_NATIONAL[],2,0),"--")</f>
        <v>7089</v>
      </c>
      <c r="M17" s="171">
        <f>IFERROR(VLOOKUP(MID(J17,4,3),MMWR_TRAD_AGG_NATIONAL[],3,0),"--")</f>
        <v>1347</v>
      </c>
      <c r="N17" s="172">
        <f t="shared" si="1"/>
        <v>0.19001269572577231</v>
      </c>
      <c r="O17" s="72"/>
      <c r="P17" s="416" t="s">
        <v>251</v>
      </c>
      <c r="Q17" s="417"/>
      <c r="R17" s="417"/>
      <c r="S17" s="185">
        <f>IFERROR(VLOOKUP("160",MMWR_TRAD_AGG_NATIONAL[],2,0),"--")</f>
        <v>28176</v>
      </c>
      <c r="T17" s="28"/>
      <c r="U17" s="71"/>
      <c r="V17" s="25"/>
    </row>
    <row r="18" spans="1:22" s="1" customFormat="1" ht="32.25" customHeight="1" thickBot="1" x14ac:dyDescent="0.25">
      <c r="A18" s="25"/>
      <c r="B18" s="325" t="s">
        <v>259</v>
      </c>
      <c r="C18" s="326"/>
      <c r="D18" s="326"/>
      <c r="E18" s="398"/>
      <c r="F18" s="170">
        <f>IFERROR(VLOOKUP(MID(B18,4,3),MMWR_TRAD_AGG_NATIONAL[],2,0),"--")</f>
        <v>10</v>
      </c>
      <c r="G18" s="171">
        <f>IFERROR(VLOOKUP(MID(B18,4,3),MMWR_TRAD_AGG_NATIONAL[],3,0),"--")</f>
        <v>4</v>
      </c>
      <c r="H18" s="172">
        <f t="shared" si="0"/>
        <v>0.4</v>
      </c>
      <c r="I18" s="68" t="s">
        <v>316</v>
      </c>
      <c r="J18" s="410" t="s">
        <v>15</v>
      </c>
      <c r="K18" s="411"/>
      <c r="L18" s="167">
        <f>SUM(L19:L21)</f>
        <v>612</v>
      </c>
      <c r="M18" s="167">
        <f>SUM(M19:M21)</f>
        <v>571</v>
      </c>
      <c r="N18" s="160">
        <f t="shared" ref="N18:N26" si="2">IF(M18="--", 0, M18/L18)</f>
        <v>0.93300653594771243</v>
      </c>
      <c r="O18" s="73"/>
      <c r="P18" s="418" t="s">
        <v>252</v>
      </c>
      <c r="Q18" s="419"/>
      <c r="R18" s="419"/>
      <c r="S18" s="186">
        <f>IFERROR(VLOOKUP("165",MMWR_TRAD_AGG_NATIONAL[],2,0),"--")</f>
        <v>9762</v>
      </c>
      <c r="T18" s="28"/>
      <c r="U18" s="71"/>
      <c r="V18" s="25"/>
    </row>
    <row r="19" spans="1:22" s="1" customFormat="1" ht="41.25" customHeight="1" x14ac:dyDescent="0.4">
      <c r="A19" s="25"/>
      <c r="B19" s="325" t="s">
        <v>260</v>
      </c>
      <c r="C19" s="326"/>
      <c r="D19" s="326"/>
      <c r="E19" s="398"/>
      <c r="F19" s="170">
        <f>IFERROR(VLOOKUP(MID(B19,4,3),MMWR_TRAD_AGG_NATIONAL[],2,0),"--")</f>
        <v>1</v>
      </c>
      <c r="G19" s="171">
        <f>IFERROR(VLOOKUP(MID(B19,4,3),MMWR_TRAD_AGG_NATIONAL[],3,0),"--")</f>
        <v>0</v>
      </c>
      <c r="H19" s="172">
        <f t="shared" si="0"/>
        <v>0</v>
      </c>
      <c r="I19" s="68" t="s">
        <v>316</v>
      </c>
      <c r="J19" s="325" t="s">
        <v>280</v>
      </c>
      <c r="K19" s="398"/>
      <c r="L19" s="170">
        <f>IFERROR(VLOOKUP(MID(J19,4,3),MMWR_TRAD_AGG_NATIONAL[],2,0),"--")</f>
        <v>518</v>
      </c>
      <c r="M19" s="171">
        <f>IFERROR(VLOOKUP(MID(J19,4,3),MMWR_TRAD_AGG_NATIONAL[],3,0),"--")</f>
        <v>516</v>
      </c>
      <c r="N19" s="172">
        <f t="shared" si="2"/>
        <v>0.99613899613899615</v>
      </c>
      <c r="O19" s="56"/>
      <c r="P19" s="25"/>
      <c r="Q19" s="25"/>
      <c r="R19" s="25"/>
      <c r="S19" s="25"/>
      <c r="T19" s="28"/>
      <c r="U19" s="71"/>
      <c r="V19" s="25"/>
    </row>
    <row r="20" spans="1:22" s="1" customFormat="1" ht="40.5" customHeight="1" x14ac:dyDescent="0.4">
      <c r="A20" s="25"/>
      <c r="B20" s="325" t="s">
        <v>261</v>
      </c>
      <c r="C20" s="326"/>
      <c r="D20" s="326"/>
      <c r="E20" s="398"/>
      <c r="F20" s="170">
        <f>IFERROR(VLOOKUP(MID(B20,4,3),MMWR_TRAD_AGG_NATIONAL[],2,0),"--")</f>
        <v>3</v>
      </c>
      <c r="G20" s="171">
        <f>IFERROR(VLOOKUP(MID(B20,4,3),MMWR_TRAD_AGG_NATIONAL[],3,0),"--")</f>
        <v>1</v>
      </c>
      <c r="H20" s="172">
        <f t="shared" si="0"/>
        <v>0.33333333333333331</v>
      </c>
      <c r="I20" s="68" t="s">
        <v>316</v>
      </c>
      <c r="J20" s="325" t="s">
        <v>303</v>
      </c>
      <c r="K20" s="398"/>
      <c r="L20" s="170">
        <f>IFERROR(VLOOKUP(MID(J20,4,3),MMWR_TRAD_AGG_NATIONAL[],2,0),"--")</f>
        <v>70</v>
      </c>
      <c r="M20" s="171">
        <f>IFERROR(VLOOKUP(MID(J20,4,3),MMWR_TRAD_AGG_NATIONAL[],3,0),"--")</f>
        <v>47</v>
      </c>
      <c r="N20" s="172">
        <f t="shared" si="2"/>
        <v>0.67142857142857137</v>
      </c>
      <c r="O20" s="56"/>
      <c r="P20" s="56"/>
      <c r="Q20" s="56"/>
      <c r="R20" s="56"/>
      <c r="S20" s="56"/>
      <c r="T20" s="56"/>
      <c r="U20" s="74"/>
      <c r="V20" s="25"/>
    </row>
    <row r="21" spans="1:22" s="1" customFormat="1" ht="39" customHeight="1" thickBot="1" x14ac:dyDescent="0.45">
      <c r="A21" s="25"/>
      <c r="B21" s="325" t="s">
        <v>262</v>
      </c>
      <c r="C21" s="326"/>
      <c r="D21" s="326"/>
      <c r="E21" s="398"/>
      <c r="F21" s="170">
        <f>IFERROR(VLOOKUP(MID(B21,4,3),MMWR_TRAD_AGG_NATIONAL[],2,0),"--")</f>
        <v>4</v>
      </c>
      <c r="G21" s="171">
        <f>IFERROR(VLOOKUP(MID(B21,4,3),MMWR_TRAD_AGG_NATIONAL[],3,0),"--")</f>
        <v>3</v>
      </c>
      <c r="H21" s="172">
        <f t="shared" si="0"/>
        <v>0.75</v>
      </c>
      <c r="I21" s="68" t="s">
        <v>316</v>
      </c>
      <c r="J21" s="325" t="s">
        <v>281</v>
      </c>
      <c r="K21" s="398"/>
      <c r="L21" s="170">
        <f>IFERROR(VLOOKUP(MID(J21,4,3),MMWR_TRAD_AGG_NATIONAL[],2,0),"--")</f>
        <v>24</v>
      </c>
      <c r="M21" s="171">
        <f>IFERROR(VLOOKUP(MID(J21,4,3),MMWR_TRAD_AGG_NATIONAL[],3,0),"--")</f>
        <v>8</v>
      </c>
      <c r="N21" s="172">
        <f t="shared" si="2"/>
        <v>0.33333333333333331</v>
      </c>
      <c r="O21" s="56"/>
      <c r="P21" s="56"/>
      <c r="Q21" s="56"/>
      <c r="R21" s="56"/>
      <c r="S21" s="56"/>
      <c r="T21" s="56"/>
      <c r="U21" s="74"/>
      <c r="V21" s="25"/>
    </row>
    <row r="22" spans="1:22" s="1" customFormat="1" ht="32.25" customHeight="1" thickBot="1" x14ac:dyDescent="0.45">
      <c r="A22" s="25"/>
      <c r="B22" s="410" t="s">
        <v>13</v>
      </c>
      <c r="C22" s="411"/>
      <c r="D22" s="411"/>
      <c r="E22" s="411"/>
      <c r="F22" s="167">
        <f>SUM(F23:F29)</f>
        <v>477733</v>
      </c>
      <c r="G22" s="168">
        <f>SUM(G23:G29)</f>
        <v>307983</v>
      </c>
      <c r="H22" s="169">
        <f t="shared" si="0"/>
        <v>0.644676001029864</v>
      </c>
      <c r="I22" s="25"/>
      <c r="J22" s="410" t="s">
        <v>230</v>
      </c>
      <c r="K22" s="411"/>
      <c r="L22" s="167">
        <f>SUM(L23:L26)</f>
        <v>1906</v>
      </c>
      <c r="M22" s="167">
        <f>SUM(M23:M26)</f>
        <v>591</v>
      </c>
      <c r="N22" s="160">
        <f t="shared" si="2"/>
        <v>0.31007345225603355</v>
      </c>
      <c r="O22" s="56"/>
      <c r="P22" s="25"/>
      <c r="Q22" s="25"/>
      <c r="R22" s="25"/>
      <c r="S22" s="25"/>
      <c r="T22" s="56"/>
      <c r="U22" s="74"/>
      <c r="V22" s="25"/>
    </row>
    <row r="23" spans="1:22" s="1" customFormat="1" ht="26.25" customHeight="1" x14ac:dyDescent="0.4">
      <c r="A23" s="25"/>
      <c r="B23" s="404" t="s">
        <v>263</v>
      </c>
      <c r="C23" s="405"/>
      <c r="D23" s="405"/>
      <c r="E23" s="406"/>
      <c r="F23" s="170">
        <f>IFERROR(VLOOKUP(MID(B23,4,3),MMWR_TRAD_AGG_NATIONAL[],2,0),"--")</f>
        <v>215047</v>
      </c>
      <c r="G23" s="171">
        <f>IFERROR(VLOOKUP(MID(B23,4,3),MMWR_TRAD_AGG_NATIONAL[],3,0),"--")</f>
        <v>152067</v>
      </c>
      <c r="H23" s="172">
        <f t="shared" si="0"/>
        <v>0.70713378935767535</v>
      </c>
      <c r="I23" s="25"/>
      <c r="J23" s="421" t="s">
        <v>284</v>
      </c>
      <c r="K23" s="422"/>
      <c r="L23" s="173">
        <f>IFERROR(VLOOKUP(MID(J23,4,3),MMWR_TRAD_AGG_NATIONAL[],2,0),"--")</f>
        <v>468</v>
      </c>
      <c r="M23" s="174">
        <f>IFERROR(VLOOKUP(MID(J23,4,3),MMWR_TRAD_AGG_NATIONAL[],3,0),"--")</f>
        <v>190</v>
      </c>
      <c r="N23" s="175">
        <f t="shared" si="2"/>
        <v>0.40598290598290598</v>
      </c>
      <c r="O23" s="56"/>
      <c r="P23" s="25"/>
      <c r="Q23" s="25"/>
      <c r="R23" s="25"/>
      <c r="S23" s="25"/>
      <c r="T23" s="56"/>
      <c r="U23" s="74"/>
      <c r="V23" s="25"/>
    </row>
    <row r="24" spans="1:22" s="1" customFormat="1" ht="39.75" customHeight="1" x14ac:dyDescent="0.4">
      <c r="A24" s="25"/>
      <c r="B24" s="404" t="s">
        <v>264</v>
      </c>
      <c r="C24" s="405"/>
      <c r="D24" s="405"/>
      <c r="E24" s="406"/>
      <c r="F24" s="170">
        <f>IFERROR(VLOOKUP(MID(B24,4,3),MMWR_TRAD_AGG_NATIONAL[],2,0),"--")</f>
        <v>213</v>
      </c>
      <c r="G24" s="171">
        <f>IFERROR(VLOOKUP(MID(B24,4,3),MMWR_TRAD_AGG_NATIONAL[],3,0),"--")</f>
        <v>124</v>
      </c>
      <c r="H24" s="172">
        <f t="shared" si="0"/>
        <v>0.5821596244131455</v>
      </c>
      <c r="I24" s="25"/>
      <c r="J24" s="325" t="s">
        <v>283</v>
      </c>
      <c r="K24" s="398"/>
      <c r="L24" s="170">
        <f>IFERROR(VLOOKUP(MID(J24,4,3),MMWR_TRAD_AGG_NATIONAL[],2,0),"--")</f>
        <v>685</v>
      </c>
      <c r="M24" s="171">
        <f>IFERROR(VLOOKUP(MID(J24,4,3),MMWR_TRAD_AGG_NATIONAL[],3,0),"--")</f>
        <v>21</v>
      </c>
      <c r="N24" s="172">
        <f t="shared" si="2"/>
        <v>3.0656934306569343E-2</v>
      </c>
      <c r="O24" s="56"/>
      <c r="P24" s="25"/>
      <c r="Q24" s="25"/>
      <c r="R24" s="25"/>
      <c r="S24" s="25"/>
      <c r="T24" s="56"/>
      <c r="U24" s="74"/>
      <c r="V24" s="25"/>
    </row>
    <row r="25" spans="1:22" s="1" customFormat="1" ht="37.5" customHeight="1" x14ac:dyDescent="0.4">
      <c r="A25" s="25"/>
      <c r="B25" s="404" t="s">
        <v>265</v>
      </c>
      <c r="C25" s="405"/>
      <c r="D25" s="405"/>
      <c r="E25" s="406"/>
      <c r="F25" s="170">
        <f>IFERROR(VLOOKUP(MID(B25,4,3),MMWR_TRAD_AGG_NATIONAL[],2,0),"--")</f>
        <v>292</v>
      </c>
      <c r="G25" s="171">
        <f>IFERROR(VLOOKUP(MID(B25,4,3),MMWR_TRAD_AGG_NATIONAL[],3,0),"--")</f>
        <v>190</v>
      </c>
      <c r="H25" s="172">
        <f t="shared" si="0"/>
        <v>0.65068493150684936</v>
      </c>
      <c r="I25" s="25"/>
      <c r="J25" s="325" t="s">
        <v>282</v>
      </c>
      <c r="K25" s="398"/>
      <c r="L25" s="170">
        <f>IFERROR(VLOOKUP(MID(J25,4,3),MMWR_TRAD_AGG_NATIONAL[],2,0),"--")</f>
        <v>713</v>
      </c>
      <c r="M25" s="171">
        <f>IFERROR(VLOOKUP(MID(J25,4,3),MMWR_TRAD_AGG_NATIONAL[],3,0),"--")</f>
        <v>353</v>
      </c>
      <c r="N25" s="172">
        <f t="shared" si="2"/>
        <v>0.49509116409537168</v>
      </c>
      <c r="O25" s="56"/>
      <c r="P25" s="56"/>
      <c r="Q25" s="56"/>
      <c r="R25" s="56"/>
      <c r="S25" s="56"/>
      <c r="T25" s="56"/>
      <c r="U25" s="74"/>
      <c r="V25" s="25"/>
    </row>
    <row r="26" spans="1:22" s="1" customFormat="1" ht="37.5" customHeight="1" thickBot="1" x14ac:dyDescent="0.45">
      <c r="A26" s="25"/>
      <c r="B26" s="404" t="s">
        <v>266</v>
      </c>
      <c r="C26" s="405"/>
      <c r="D26" s="405"/>
      <c r="E26" s="406"/>
      <c r="F26" s="170">
        <f>IFERROR(VLOOKUP(MID(B26,4,3),MMWR_TRAD_AGG_NATIONAL[],2,0),"--")</f>
        <v>113462</v>
      </c>
      <c r="G26" s="171">
        <f>IFERROR(VLOOKUP(MID(B26,4,3),MMWR_TRAD_AGG_NATIONAL[],3,0),"--")</f>
        <v>89017</v>
      </c>
      <c r="H26" s="172">
        <f t="shared" si="0"/>
        <v>0.78455341876575413</v>
      </c>
      <c r="I26" s="56"/>
      <c r="J26" s="327" t="s">
        <v>319</v>
      </c>
      <c r="K26" s="400"/>
      <c r="L26" s="176">
        <f>IFERROR(VLOOKUP(MID(J26,4,3),MMWR_TRAD_AGG_NATIONAL[],2,0),"--")</f>
        <v>40</v>
      </c>
      <c r="M26" s="177">
        <f>IFERROR(VLOOKUP(MID(J26,4,3),MMWR_TRAD_AGG_NATIONAL[],3,0),"--")</f>
        <v>27</v>
      </c>
      <c r="N26" s="178">
        <f t="shared" si="2"/>
        <v>0.67500000000000004</v>
      </c>
      <c r="O26" s="56"/>
      <c r="P26" s="56"/>
      <c r="Q26" s="56"/>
      <c r="R26" s="56"/>
      <c r="S26" s="56"/>
      <c r="T26" s="56"/>
      <c r="U26" s="74"/>
      <c r="V26" s="25"/>
    </row>
    <row r="27" spans="1:22" s="1" customFormat="1" ht="26.25" customHeight="1" thickBot="1" x14ac:dyDescent="0.45">
      <c r="A27" s="25"/>
      <c r="B27" s="404" t="s">
        <v>267</v>
      </c>
      <c r="C27" s="405"/>
      <c r="D27" s="405"/>
      <c r="E27" s="406"/>
      <c r="F27" s="170">
        <f>IFERROR(VLOOKUP(MID(B27,4,3),MMWR_TRAD_AGG_NATIONAL[],2,0),"--")</f>
        <v>28</v>
      </c>
      <c r="G27" s="171">
        <f>IFERROR(VLOOKUP(MID(B27,4,3),MMWR_TRAD_AGG_NATIONAL[],3,0),"--")</f>
        <v>26</v>
      </c>
      <c r="H27" s="172">
        <f t="shared" si="0"/>
        <v>0.9285714285714286</v>
      </c>
      <c r="I27" s="56"/>
      <c r="J27" s="56"/>
      <c r="K27" s="56"/>
      <c r="L27" s="56"/>
      <c r="M27" s="56"/>
      <c r="N27" s="56"/>
      <c r="O27" s="56"/>
      <c r="P27" s="56"/>
      <c r="Q27" s="56"/>
      <c r="R27" s="56"/>
      <c r="S27" s="56"/>
      <c r="T27" s="56"/>
      <c r="U27" s="74"/>
      <c r="V27" s="25"/>
    </row>
    <row r="28" spans="1:22" s="1" customFormat="1" ht="32.25" customHeight="1" x14ac:dyDescent="0.4">
      <c r="A28" s="25"/>
      <c r="B28" s="404" t="s">
        <v>268</v>
      </c>
      <c r="C28" s="405"/>
      <c r="D28" s="405"/>
      <c r="E28" s="406"/>
      <c r="F28" s="170">
        <f>IFERROR(VLOOKUP(MID(B28,4,3),MMWR_TRAD_AGG_NATIONAL[],2,0),"--")</f>
        <v>16016</v>
      </c>
      <c r="G28" s="171">
        <f>IFERROR(VLOOKUP(MID(B28,4,3),MMWR_TRAD_AGG_NATIONAL[],3,0),"--")</f>
        <v>2023</v>
      </c>
      <c r="H28" s="172">
        <f t="shared" si="0"/>
        <v>0.1263111888111888</v>
      </c>
      <c r="I28" s="68" t="s">
        <v>316</v>
      </c>
      <c r="J28" s="448" t="s">
        <v>318</v>
      </c>
      <c r="K28" s="449"/>
      <c r="L28" s="449"/>
      <c r="M28" s="449"/>
      <c r="N28" s="450"/>
      <c r="O28" s="420" t="s">
        <v>316</v>
      </c>
      <c r="P28" s="75"/>
      <c r="Q28" s="56"/>
      <c r="R28" s="56"/>
      <c r="S28" s="56"/>
      <c r="T28" s="56"/>
      <c r="U28" s="74"/>
      <c r="V28" s="25"/>
    </row>
    <row r="29" spans="1:22" s="1" customFormat="1" ht="27" customHeight="1" thickBot="1" x14ac:dyDescent="0.45">
      <c r="A29" s="25"/>
      <c r="B29" s="404" t="s">
        <v>269</v>
      </c>
      <c r="C29" s="405"/>
      <c r="D29" s="405"/>
      <c r="E29" s="406"/>
      <c r="F29" s="170">
        <f>IFERROR(VLOOKUP(MID(B29,4,3),MMWR_TRAD_AGG_NATIONAL[],2,0),"--")</f>
        <v>132675</v>
      </c>
      <c r="G29" s="171">
        <f>IFERROR(VLOOKUP(MID(B29,4,3),MMWR_TRAD_AGG_NATIONAL[],3,0),"--")</f>
        <v>64536</v>
      </c>
      <c r="H29" s="172">
        <f t="shared" si="0"/>
        <v>0.4864217071791973</v>
      </c>
      <c r="I29" s="56"/>
      <c r="J29" s="451"/>
      <c r="K29" s="452"/>
      <c r="L29" s="452"/>
      <c r="M29" s="452"/>
      <c r="N29" s="453"/>
      <c r="O29" s="420"/>
      <c r="P29" s="76"/>
      <c r="Q29" s="56"/>
      <c r="R29" s="56"/>
      <c r="S29" s="56"/>
      <c r="T29" s="56"/>
      <c r="U29" s="74"/>
      <c r="V29" s="25"/>
    </row>
    <row r="30" spans="1:22" s="1" customFormat="1" ht="32.25" customHeight="1" thickBot="1" x14ac:dyDescent="0.45">
      <c r="A30" s="25"/>
      <c r="B30" s="410" t="s">
        <v>32</v>
      </c>
      <c r="C30" s="411"/>
      <c r="D30" s="411"/>
      <c r="E30" s="411"/>
      <c r="F30" s="168">
        <f>SUM(F31:F37)</f>
        <v>110715</v>
      </c>
      <c r="G30" s="168">
        <f>SUM(G31:G37)</f>
        <v>72731</v>
      </c>
      <c r="H30" s="160">
        <f t="shared" si="0"/>
        <v>0.65692092309081873</v>
      </c>
      <c r="I30" s="56"/>
      <c r="J30" s="28"/>
      <c r="K30" s="28"/>
      <c r="L30" s="28"/>
      <c r="M30" s="28"/>
      <c r="N30" s="28"/>
      <c r="O30" s="28"/>
      <c r="P30" s="56"/>
      <c r="Q30" s="56"/>
      <c r="R30" s="56"/>
      <c r="S30" s="56"/>
      <c r="T30" s="56"/>
      <c r="U30" s="74"/>
      <c r="V30" s="25"/>
    </row>
    <row r="31" spans="1:22" s="1" customFormat="1" ht="33.75" customHeight="1" x14ac:dyDescent="0.4">
      <c r="A31" s="25"/>
      <c r="B31" s="325" t="s">
        <v>286</v>
      </c>
      <c r="C31" s="326"/>
      <c r="D31" s="326"/>
      <c r="E31" s="398"/>
      <c r="F31" s="170">
        <f>IFERROR(VLOOKUP(MID(B31,4,3),MMWR_TRAD_AGG_NATIONAL[],2,0),"--")</f>
        <v>57</v>
      </c>
      <c r="G31" s="171">
        <f>IFERROR(VLOOKUP(MID(B31,4,3),MMWR_TRAD_AGG_NATIONAL[],3,0),"--")</f>
        <v>41</v>
      </c>
      <c r="H31" s="172">
        <f t="shared" si="0"/>
        <v>0.7192982456140351</v>
      </c>
      <c r="I31" s="56"/>
      <c r="J31" s="56"/>
      <c r="K31" s="56"/>
      <c r="L31" s="56"/>
      <c r="M31" s="56"/>
      <c r="N31" s="56"/>
      <c r="O31" s="56"/>
      <c r="P31" s="56"/>
      <c r="Q31" s="56"/>
      <c r="R31" s="56"/>
      <c r="S31" s="56"/>
      <c r="T31" s="56"/>
      <c r="U31" s="74"/>
      <c r="V31" s="25"/>
    </row>
    <row r="32" spans="1:22" s="1" customFormat="1" ht="32.25" customHeight="1" x14ac:dyDescent="0.4">
      <c r="A32" s="25"/>
      <c r="B32" s="325" t="s">
        <v>287</v>
      </c>
      <c r="C32" s="326"/>
      <c r="D32" s="326"/>
      <c r="E32" s="398"/>
      <c r="F32" s="170">
        <f>IFERROR(VLOOKUP(MID(B32,4,3),MMWR_TRAD_AGG_NATIONAL[],2,0),"--")</f>
        <v>24609</v>
      </c>
      <c r="G32" s="171">
        <f>IFERROR(VLOOKUP(MID(B32,4,3),MMWR_TRAD_AGG_NATIONAL[],3,0),"--")</f>
        <v>40</v>
      </c>
      <c r="H32" s="172">
        <f t="shared" si="0"/>
        <v>1.6254215937258727E-3</v>
      </c>
      <c r="I32" s="56"/>
      <c r="J32" s="56"/>
      <c r="K32" s="56"/>
      <c r="L32" s="56"/>
      <c r="M32" s="56"/>
      <c r="N32" s="56"/>
      <c r="O32" s="56"/>
      <c r="P32" s="56"/>
      <c r="Q32" s="56"/>
      <c r="R32" s="56"/>
      <c r="S32" s="56"/>
      <c r="T32" s="56"/>
      <c r="U32" s="74"/>
      <c r="V32" s="25"/>
    </row>
    <row r="33" spans="1:22" s="1" customFormat="1" ht="32.25" customHeight="1" x14ac:dyDescent="0.4">
      <c r="A33" s="25"/>
      <c r="B33" s="325" t="s">
        <v>288</v>
      </c>
      <c r="C33" s="326"/>
      <c r="D33" s="326"/>
      <c r="E33" s="398"/>
      <c r="F33" s="170">
        <f>IFERROR(VLOOKUP(MID(B33,4,3),MMWR_TRAD_AGG_NATIONAL[],2,0),"--")</f>
        <v>682</v>
      </c>
      <c r="G33" s="171">
        <f>IFERROR(VLOOKUP(MID(B33,4,3),MMWR_TRAD_AGG_NATIONAL[],3,0),"--")</f>
        <v>611</v>
      </c>
      <c r="H33" s="172">
        <f t="shared" si="0"/>
        <v>0.89589442815249265</v>
      </c>
      <c r="I33" s="56"/>
      <c r="J33" s="56"/>
      <c r="K33" s="56"/>
      <c r="L33" s="28"/>
      <c r="M33" s="28"/>
      <c r="N33" s="28"/>
      <c r="O33" s="28"/>
      <c r="P33" s="28"/>
      <c r="Q33" s="28"/>
      <c r="R33" s="56"/>
      <c r="S33" s="56"/>
      <c r="T33" s="56"/>
      <c r="U33" s="74"/>
      <c r="V33" s="25"/>
    </row>
    <row r="34" spans="1:22" s="1" customFormat="1" ht="32.25" customHeight="1" x14ac:dyDescent="0.4">
      <c r="A34" s="25"/>
      <c r="B34" s="325" t="s">
        <v>289</v>
      </c>
      <c r="C34" s="326"/>
      <c r="D34" s="326"/>
      <c r="E34" s="398"/>
      <c r="F34" s="170">
        <f>IFERROR(VLOOKUP(MID(B34,4,3),MMWR_TRAD_AGG_NATIONAL[],2,0),"--")</f>
        <v>1295</v>
      </c>
      <c r="G34" s="171">
        <f>IFERROR(VLOOKUP(MID(B34,4,3),MMWR_TRAD_AGG_NATIONAL[],3,0),"--")</f>
        <v>190</v>
      </c>
      <c r="H34" s="172">
        <f t="shared" si="0"/>
        <v>0.14671814671814673</v>
      </c>
      <c r="I34" s="56"/>
      <c r="J34" s="56"/>
      <c r="K34" s="56"/>
      <c r="L34" s="28"/>
      <c r="M34" s="28"/>
      <c r="N34" s="28"/>
      <c r="O34" s="28"/>
      <c r="P34" s="28"/>
      <c r="Q34" s="28"/>
      <c r="R34" s="56"/>
      <c r="S34" s="56"/>
      <c r="T34" s="56"/>
      <c r="U34" s="74"/>
      <c r="V34" s="25"/>
    </row>
    <row r="35" spans="1:22" s="1" customFormat="1" ht="32.25" customHeight="1" x14ac:dyDescent="0.4">
      <c r="A35" s="25"/>
      <c r="B35" s="325" t="s">
        <v>290</v>
      </c>
      <c r="C35" s="326"/>
      <c r="D35" s="326"/>
      <c r="E35" s="398"/>
      <c r="F35" s="170">
        <f>IFERROR(VLOOKUP(MID(B35,4,3),MMWR_TRAD_AGG_NATIONAL[],2,0),"--")</f>
        <v>213</v>
      </c>
      <c r="G35" s="171">
        <f>IFERROR(VLOOKUP(MID(B35,4,3),MMWR_TRAD_AGG_NATIONAL[],3,0),"--")</f>
        <v>204</v>
      </c>
      <c r="H35" s="172">
        <f t="shared" si="0"/>
        <v>0.95774647887323938</v>
      </c>
      <c r="I35" s="56"/>
      <c r="J35" s="56"/>
      <c r="K35" s="56"/>
      <c r="L35" s="56"/>
      <c r="M35" s="56"/>
      <c r="N35" s="56"/>
      <c r="O35" s="56"/>
      <c r="P35" s="56"/>
      <c r="Q35" s="56"/>
      <c r="R35" s="56"/>
      <c r="S35" s="56"/>
      <c r="T35" s="56"/>
      <c r="U35" s="74"/>
      <c r="V35" s="25"/>
    </row>
    <row r="36" spans="1:22" s="1" customFormat="1" ht="32.25" customHeight="1" x14ac:dyDescent="0.4">
      <c r="A36" s="25"/>
      <c r="B36" s="325" t="s">
        <v>291</v>
      </c>
      <c r="C36" s="326"/>
      <c r="D36" s="326"/>
      <c r="E36" s="398"/>
      <c r="F36" s="170">
        <f>IFERROR(VLOOKUP(MID(B36,4,3),MMWR_TRAD_AGG_NATIONAL[],2,0),"--")</f>
        <v>19863</v>
      </c>
      <c r="G36" s="171">
        <f>IFERROR(VLOOKUP(MID(B36,4,3),MMWR_TRAD_AGG_NATIONAL[],3,0),"--")</f>
        <v>14537</v>
      </c>
      <c r="H36" s="172">
        <f t="shared" si="0"/>
        <v>0.73186326335397478</v>
      </c>
      <c r="I36" s="56"/>
      <c r="J36" s="56"/>
      <c r="K36" s="56"/>
      <c r="L36" s="56"/>
      <c r="M36" s="56"/>
      <c r="N36" s="56"/>
      <c r="O36" s="56"/>
      <c r="P36" s="56"/>
      <c r="Q36" s="56"/>
      <c r="R36" s="56"/>
      <c r="S36" s="56"/>
      <c r="T36" s="56"/>
      <c r="U36" s="74"/>
      <c r="V36" s="25"/>
    </row>
    <row r="37" spans="1:22" s="1" customFormat="1" ht="27" customHeight="1" thickBot="1" x14ac:dyDescent="0.45">
      <c r="A37" s="25"/>
      <c r="B37" s="325" t="s">
        <v>292</v>
      </c>
      <c r="C37" s="326"/>
      <c r="D37" s="326"/>
      <c r="E37" s="398"/>
      <c r="F37" s="170">
        <f>IFERROR(VLOOKUP(MID(B37,4,3)&amp;"G",MMWR_TRAD_AGG_NATIONAL[],2,0),"--")</f>
        <v>63996</v>
      </c>
      <c r="G37" s="171">
        <f>IFERROR(VLOOKUP(MID(B37,4,3)&amp;"G",MMWR_TRAD_AGG_NATIONAL[],3,0),"--")</f>
        <v>57108</v>
      </c>
      <c r="H37" s="172">
        <f t="shared" si="0"/>
        <v>0.89236827301706356</v>
      </c>
      <c r="I37" s="56"/>
      <c r="J37" s="56"/>
      <c r="K37" s="56"/>
      <c r="L37" s="56"/>
      <c r="M37" s="56"/>
      <c r="N37" s="56"/>
      <c r="O37" s="56"/>
      <c r="P37" s="56"/>
      <c r="Q37" s="56"/>
      <c r="R37" s="56"/>
      <c r="S37" s="56"/>
      <c r="T37" s="56"/>
      <c r="U37" s="74"/>
      <c r="V37" s="25"/>
    </row>
    <row r="38" spans="1:22" s="1" customFormat="1" ht="32.25" customHeight="1" thickBot="1" x14ac:dyDescent="0.45">
      <c r="A38" s="25"/>
      <c r="B38" s="410" t="s">
        <v>244</v>
      </c>
      <c r="C38" s="411"/>
      <c r="D38" s="411"/>
      <c r="E38" s="411"/>
      <c r="F38" s="167">
        <f>SUM(F39:F44)</f>
        <v>140148</v>
      </c>
      <c r="G38" s="168">
        <f>SUM(G39:G44)</f>
        <v>87342</v>
      </c>
      <c r="H38" s="169">
        <f t="shared" si="0"/>
        <v>0.62321260381882015</v>
      </c>
      <c r="I38" s="56"/>
      <c r="J38" s="56"/>
      <c r="K38" s="75"/>
      <c r="L38" s="75"/>
      <c r="M38" s="75"/>
      <c r="N38" s="75"/>
      <c r="O38" s="75"/>
      <c r="P38" s="56"/>
      <c r="Q38" s="56"/>
      <c r="R38" s="56"/>
      <c r="S38" s="56"/>
      <c r="T38" s="56"/>
      <c r="U38" s="74"/>
      <c r="V38" s="25"/>
    </row>
    <row r="39" spans="1:22" s="1" customFormat="1" ht="26.25" customHeight="1" x14ac:dyDescent="0.4">
      <c r="A39" s="25"/>
      <c r="B39" s="421" t="s">
        <v>293</v>
      </c>
      <c r="C39" s="440"/>
      <c r="D39" s="440"/>
      <c r="E39" s="422"/>
      <c r="F39" s="173">
        <f>IFERROR(VLOOKUP(MID(B39,4,3),MMWR_TRAD_AGG_NATIONAL[],2,0),"--")</f>
        <v>7123</v>
      </c>
      <c r="G39" s="174">
        <f>IFERROR(VLOOKUP(MID(B39,4,3),MMWR_TRAD_AGG_NATIONAL[],3,0),"--")</f>
        <v>5599</v>
      </c>
      <c r="H39" s="175">
        <f t="shared" si="0"/>
        <v>0.7860452056717675</v>
      </c>
      <c r="I39" s="56"/>
      <c r="J39" s="56"/>
      <c r="K39" s="75"/>
      <c r="L39" s="75"/>
      <c r="M39" s="75"/>
      <c r="N39" s="75"/>
      <c r="O39" s="75"/>
      <c r="P39" s="56"/>
      <c r="Q39" s="56"/>
      <c r="R39" s="56"/>
      <c r="S39" s="56"/>
      <c r="T39" s="56"/>
      <c r="U39" s="74"/>
      <c r="V39" s="25"/>
    </row>
    <row r="40" spans="1:22" s="1" customFormat="1" ht="26.25" customHeight="1" x14ac:dyDescent="0.4">
      <c r="A40" s="25"/>
      <c r="B40" s="325" t="s">
        <v>294</v>
      </c>
      <c r="C40" s="326"/>
      <c r="D40" s="326"/>
      <c r="E40" s="398"/>
      <c r="F40" s="170">
        <f>IFERROR(VLOOKUP(MID(B40,4,3),MMWR_TRAD_AGG_NATIONAL[],2,0),"--")</f>
        <v>74449</v>
      </c>
      <c r="G40" s="171">
        <f>IFERROR(VLOOKUP(MID(B40,4,3),MMWR_TRAD_AGG_NATIONAL[],3,0),"--")</f>
        <v>55138</v>
      </c>
      <c r="H40" s="172">
        <f t="shared" si="0"/>
        <v>0.74061438031404048</v>
      </c>
      <c r="I40" s="56"/>
      <c r="J40" s="56"/>
      <c r="K40" s="56"/>
      <c r="L40" s="56"/>
      <c r="M40" s="56"/>
      <c r="N40" s="56"/>
      <c r="O40" s="56"/>
      <c r="P40" s="56"/>
      <c r="Q40" s="56"/>
      <c r="R40" s="56"/>
      <c r="S40" s="56"/>
      <c r="T40" s="56"/>
      <c r="U40" s="74"/>
      <c r="V40" s="25"/>
    </row>
    <row r="41" spans="1:22" s="1" customFormat="1" ht="26.25" customHeight="1" x14ac:dyDescent="0.4">
      <c r="A41" s="25"/>
      <c r="B41" s="325" t="s">
        <v>295</v>
      </c>
      <c r="C41" s="326"/>
      <c r="D41" s="326"/>
      <c r="E41" s="398"/>
      <c r="F41" s="170">
        <f>IFERROR(VLOOKUP(MID(B41,4,3),MMWR_TRAD_AGG_NATIONAL[],2,0),"--")</f>
        <v>1735</v>
      </c>
      <c r="G41" s="171">
        <f>IFERROR(VLOOKUP(MID(B41,4,3),MMWR_TRAD_AGG_NATIONAL[],3,0),"--")</f>
        <v>558</v>
      </c>
      <c r="H41" s="172">
        <f t="shared" si="0"/>
        <v>0.32161383285302592</v>
      </c>
      <c r="I41" s="56"/>
      <c r="J41" s="56"/>
      <c r="K41" s="56"/>
      <c r="L41" s="56"/>
      <c r="M41" s="56"/>
      <c r="N41" s="56"/>
      <c r="O41" s="56"/>
      <c r="P41" s="56"/>
      <c r="Q41" s="56"/>
      <c r="R41" s="56"/>
      <c r="S41" s="56"/>
      <c r="T41" s="56"/>
      <c r="U41" s="74"/>
      <c r="V41" s="25"/>
    </row>
    <row r="42" spans="1:22" s="1" customFormat="1" ht="36" customHeight="1" x14ac:dyDescent="0.4">
      <c r="A42" s="25"/>
      <c r="B42" s="325" t="s">
        <v>296</v>
      </c>
      <c r="C42" s="326"/>
      <c r="D42" s="326"/>
      <c r="E42" s="398"/>
      <c r="F42" s="170">
        <f>IFERROR(VLOOKUP(MID(B42,4,3),MMWR_TRAD_AGG_NATIONAL[],2,0),"--")</f>
        <v>42010</v>
      </c>
      <c r="G42" s="171">
        <f>IFERROR(VLOOKUP(MID(B42,4,3),MMWR_TRAD_AGG_NATIONAL[],3,0),"--")</f>
        <v>13606</v>
      </c>
      <c r="H42" s="172">
        <f t="shared" si="0"/>
        <v>0.32387526779338255</v>
      </c>
      <c r="I42" s="56"/>
      <c r="J42" s="56"/>
      <c r="K42" s="56"/>
      <c r="L42" s="56"/>
      <c r="M42" s="56"/>
      <c r="N42" s="56"/>
      <c r="O42" s="56"/>
      <c r="P42" s="56"/>
      <c r="Q42" s="56"/>
      <c r="R42" s="56"/>
      <c r="S42" s="56"/>
      <c r="T42" s="56"/>
      <c r="U42" s="74"/>
      <c r="V42" s="25"/>
    </row>
    <row r="43" spans="1:22" s="1" customFormat="1" ht="33" customHeight="1" x14ac:dyDescent="0.4">
      <c r="A43" s="25"/>
      <c r="B43" s="325" t="s">
        <v>297</v>
      </c>
      <c r="C43" s="326"/>
      <c r="D43" s="326"/>
      <c r="E43" s="398"/>
      <c r="F43" s="170">
        <f>IFERROR(VLOOKUP(MID(B43,4,3),MMWR_TRAD_AGG_NATIONAL[],2,0),"--")</f>
        <v>14287</v>
      </c>
      <c r="G43" s="171">
        <f>IFERROR(VLOOKUP(MID(B43,4,3),MMWR_TRAD_AGG_NATIONAL[],3,0),"--")</f>
        <v>11989</v>
      </c>
      <c r="H43" s="172">
        <f t="shared" si="0"/>
        <v>0.83915447609715121</v>
      </c>
      <c r="I43" s="56"/>
      <c r="J43" s="56"/>
      <c r="K43" s="56"/>
      <c r="L43" s="56"/>
      <c r="M43" s="56"/>
      <c r="N43" s="56"/>
      <c r="O43" s="56"/>
      <c r="P43" s="56"/>
      <c r="Q43" s="56"/>
      <c r="R43" s="56"/>
      <c r="S43" s="56"/>
      <c r="T43" s="56"/>
      <c r="U43" s="74"/>
      <c r="V43" s="25"/>
    </row>
    <row r="44" spans="1:22" s="1" customFormat="1" ht="27" customHeight="1" thickBot="1" x14ac:dyDescent="0.45">
      <c r="A44" s="25"/>
      <c r="B44" s="327" t="s">
        <v>298</v>
      </c>
      <c r="C44" s="328"/>
      <c r="D44" s="328"/>
      <c r="E44" s="400"/>
      <c r="F44" s="176">
        <f>IFERROR(VLOOKUP(MID(B44,4,3),MMWR_TRAD_AGG_NATIONAL[],2,0),"--")</f>
        <v>544</v>
      </c>
      <c r="G44" s="177">
        <f>IFERROR(VLOOKUP(MID(B44,4,3),MMWR_TRAD_AGG_NATIONAL[],3,0),"--")</f>
        <v>452</v>
      </c>
      <c r="H44" s="178">
        <f t="shared" si="0"/>
        <v>0.83088235294117652</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4" t="str">
        <f>UPPER("INVENTORY BY REGIONAL OFFICE "&amp;Transformation!B4)</f>
        <v>INVENTORY BY REGIONAL OFFICE AS OF: DECEMBER 12, 2015</v>
      </c>
      <c r="D2" s="455"/>
      <c r="E2" s="455"/>
      <c r="F2" s="455"/>
      <c r="G2" s="455"/>
      <c r="H2" s="455"/>
      <c r="I2" s="455"/>
      <c r="J2" s="455"/>
      <c r="K2" s="455"/>
      <c r="L2" s="455"/>
      <c r="M2" s="455"/>
      <c r="N2" s="455"/>
      <c r="O2" s="455"/>
      <c r="P2" s="455"/>
      <c r="Q2" s="455"/>
      <c r="R2" s="455"/>
      <c r="S2" s="456"/>
      <c r="T2" s="25"/>
    </row>
    <row r="3" spans="1:20" x14ac:dyDescent="0.2">
      <c r="A3" s="25"/>
      <c r="B3" s="26"/>
      <c r="C3" s="457" t="s">
        <v>231</v>
      </c>
      <c r="D3" s="458"/>
      <c r="E3" s="459" t="s">
        <v>211</v>
      </c>
      <c r="F3" s="460"/>
      <c r="G3" s="461"/>
      <c r="H3" s="459" t="s">
        <v>7</v>
      </c>
      <c r="I3" s="460"/>
      <c r="J3" s="461"/>
      <c r="K3" s="459" t="s">
        <v>33</v>
      </c>
      <c r="L3" s="460"/>
      <c r="M3" s="461"/>
      <c r="N3" s="459" t="s">
        <v>8</v>
      </c>
      <c r="O3" s="460"/>
      <c r="P3" s="461"/>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4" t="s">
        <v>493</v>
      </c>
      <c r="D5" s="455"/>
      <c r="E5" s="455"/>
      <c r="F5" s="455"/>
      <c r="G5" s="455"/>
      <c r="H5" s="455"/>
      <c r="I5" s="455"/>
      <c r="J5" s="455"/>
      <c r="K5" s="455"/>
      <c r="L5" s="455"/>
      <c r="M5" s="455"/>
      <c r="N5" s="455"/>
      <c r="O5" s="455"/>
      <c r="P5" s="455"/>
      <c r="Q5" s="455"/>
      <c r="R5" s="455"/>
      <c r="S5" s="456"/>
      <c r="T5" s="25"/>
    </row>
    <row r="6" spans="1:20" x14ac:dyDescent="0.2">
      <c r="A6" s="92"/>
      <c r="B6" s="93" t="s">
        <v>468</v>
      </c>
      <c r="C6" s="209">
        <f>IFERROR(VLOOKUP($B6,MMWR_TRAD_AGG_DISTRICT_COMP[],C$1,0),"ERROR")</f>
        <v>328709</v>
      </c>
      <c r="D6" s="187">
        <f>IFERROR(VLOOKUP($B6,MMWR_TRAD_AGG_DISTRICT_COMP[],D$1,0),"ERROR")</f>
        <v>386.52392541730001</v>
      </c>
      <c r="E6" s="195">
        <f>IFERROR(VLOOKUP($B6,MMWR_TRAD_AGG_DISTRICT_COMP[],E$1,0),"ERROR")</f>
        <v>335224</v>
      </c>
      <c r="F6" s="189">
        <f>IFERROR(VLOOKUP($B6,MMWR_TRAD_AGG_DISTRICT_COMP[],F$1,0),"ERROR")</f>
        <v>73951</v>
      </c>
      <c r="G6" s="212">
        <f t="shared" ref="G6:G69" si="0">IFERROR(F6/E6,"0%")</f>
        <v>0.22060174689163067</v>
      </c>
      <c r="H6" s="188">
        <f>IFERROR(VLOOKUP($B6,MMWR_TRAD_AGG_DISTRICT_COMP[],H$1,0),"ERROR")</f>
        <v>477733</v>
      </c>
      <c r="I6" s="189">
        <f>IFERROR(VLOOKUP($B6,MMWR_TRAD_AGG_DISTRICT_COMP[],I$1,0),"ERROR")</f>
        <v>307983</v>
      </c>
      <c r="J6" s="212">
        <f t="shared" ref="J6:J69" si="1">IFERROR(I6/H6,"0%")</f>
        <v>0.644676001029864</v>
      </c>
      <c r="K6" s="188">
        <f>IFERROR(VLOOKUP($B6,MMWR_TRAD_AGG_DISTRICT_COMP[],K$1,0),"ERROR")</f>
        <v>110715</v>
      </c>
      <c r="L6" s="189">
        <f>IFERROR(VLOOKUP($B6,MMWR_TRAD_AGG_DISTRICT_COMP[],L$1,0),"ERROR")</f>
        <v>72731</v>
      </c>
      <c r="M6" s="212">
        <f t="shared" ref="M6:M69" si="2">IFERROR(L6/K6,"0%")</f>
        <v>0.65692092309081873</v>
      </c>
      <c r="N6" s="188">
        <f>IFERROR(VLOOKUP($B6,MMWR_TRAD_AGG_DISTRICT_COMP[],N$1,0),"ERROR")</f>
        <v>140148</v>
      </c>
      <c r="O6" s="189">
        <f>IFERROR(VLOOKUP($B6,MMWR_TRAD_AGG_DISTRICT_COMP[],O$1,0),"ERROR")</f>
        <v>87342</v>
      </c>
      <c r="P6" s="212">
        <f t="shared" ref="P6:P69" si="3">IFERROR(O6/N6,"0%")</f>
        <v>0.62321260381882015</v>
      </c>
      <c r="Q6" s="201">
        <f>IFERROR(VLOOKUP($B6,MMWR_TRAD_AGG_DISTRICT_COMP[],Q$1,0),"ERROR")</f>
        <v>19167</v>
      </c>
      <c r="R6" s="201">
        <f>IFERROR(VLOOKUP($B6,MMWR_TRAD_AGG_DISTRICT_COMP[],R$1,0),"ERROR")</f>
        <v>4018</v>
      </c>
      <c r="S6" s="204">
        <f>S7+S25+S38+S49+S62+S70</f>
        <v>316933</v>
      </c>
      <c r="T6" s="25"/>
    </row>
    <row r="7" spans="1:20" x14ac:dyDescent="0.2">
      <c r="A7" s="92"/>
      <c r="B7" s="101" t="s">
        <v>376</v>
      </c>
      <c r="C7" s="213">
        <f>IFERROR(VLOOKUP($B7,MMWR_TRAD_AGG_DISTRICT_COMP[],C$1,0),"ERROR")</f>
        <v>106055</v>
      </c>
      <c r="D7" s="198">
        <f>IFERROR(VLOOKUP($B7,MMWR_TRAD_AGG_DISTRICT_COMP[],D$1,0),"ERROR")</f>
        <v>463.28733204470001</v>
      </c>
      <c r="E7" s="214">
        <f>IFERROR(VLOOKUP($B7,MMWR_TRAD_AGG_DISTRICT_COMP[],E$1,0),"ERROR")</f>
        <v>79400</v>
      </c>
      <c r="F7" s="213">
        <f>IFERROR(VLOOKUP($B7,MMWR_TRAD_AGG_DISTRICT_COMP[],F$1,0),"ERROR")</f>
        <v>18662</v>
      </c>
      <c r="G7" s="215">
        <f t="shared" si="0"/>
        <v>0.23503778337531486</v>
      </c>
      <c r="H7" s="213">
        <f>IFERROR(VLOOKUP($B7,MMWR_TRAD_AGG_DISTRICT_COMP[],H$1,0),"ERROR")</f>
        <v>139190</v>
      </c>
      <c r="I7" s="213">
        <f>IFERROR(VLOOKUP($B7,MMWR_TRAD_AGG_DISTRICT_COMP[],I$1,0),"ERROR")</f>
        <v>101371</v>
      </c>
      <c r="J7" s="215">
        <f t="shared" si="1"/>
        <v>0.72829226237517064</v>
      </c>
      <c r="K7" s="213">
        <f>IFERROR(VLOOKUP($B7,MMWR_TRAD_AGG_DISTRICT_COMP[],K$1,0),"ERROR")</f>
        <v>32421</v>
      </c>
      <c r="L7" s="213">
        <f>IFERROR(VLOOKUP($B7,MMWR_TRAD_AGG_DISTRICT_COMP[],L$1,0),"ERROR")</f>
        <v>21881</v>
      </c>
      <c r="M7" s="215">
        <f t="shared" si="2"/>
        <v>0.67490206964621691</v>
      </c>
      <c r="N7" s="213">
        <f>IFERROR(VLOOKUP($B7,MMWR_TRAD_AGG_DISTRICT_COMP[],N$1,0),"ERROR")</f>
        <v>29729</v>
      </c>
      <c r="O7" s="213">
        <f>IFERROR(VLOOKUP($B7,MMWR_TRAD_AGG_DISTRICT_COMP[],O$1,0),"ERROR")</f>
        <v>24543</v>
      </c>
      <c r="P7" s="215">
        <f t="shared" si="3"/>
        <v>0.82555753641225738</v>
      </c>
      <c r="Q7" s="213">
        <f>IFERROR(VLOOKUP($B7,MMWR_TRAD_AGG_DISTRICT_COMP[],Q$1,0),"ERROR")</f>
        <v>12607</v>
      </c>
      <c r="R7" s="216">
        <f>IFERROR(VLOOKUP($B7,MMWR_TRAD_AGG_DISTRICT_COMP[],R$1,0),"ERROR")</f>
        <v>53</v>
      </c>
      <c r="S7" s="216">
        <f>IFERROR(VLOOKUP($B7,MMWR_APP_RO[],S$1,0),"ERROR")</f>
        <v>56258</v>
      </c>
      <c r="T7" s="25"/>
    </row>
    <row r="8" spans="1:20" x14ac:dyDescent="0.2">
      <c r="A8" s="107"/>
      <c r="B8" s="108" t="s">
        <v>36</v>
      </c>
      <c r="C8" s="210">
        <f>IFERROR(VLOOKUP($B8,MMWR_TRAD_AGG_RO_COMP[],C$1,0),"ERROR")</f>
        <v>7982</v>
      </c>
      <c r="D8" s="199">
        <f>IFERROR(VLOOKUP($B8,MMWR_TRAD_AGG_RO_COMP[],D$1,0),"ERROR")</f>
        <v>719.05675269359995</v>
      </c>
      <c r="E8" s="196">
        <f>IFERROR(VLOOKUP($B8,MMWR_TRAD_AGG_RO_COMP[],E$1,0),"ERROR")</f>
        <v>4898</v>
      </c>
      <c r="F8" s="192">
        <f>IFERROR(VLOOKUP($B8,MMWR_TRAD_AGG_RO_COMP[],F$1,0),"ERROR")</f>
        <v>1073</v>
      </c>
      <c r="G8" s="217">
        <f t="shared" si="0"/>
        <v>0.21906900775826868</v>
      </c>
      <c r="H8" s="191">
        <f>IFERROR(VLOOKUP($B8,MMWR_TRAD_AGG_RO_COMP[],H$1,0),"ERROR")</f>
        <v>9337</v>
      </c>
      <c r="I8" s="192">
        <f>IFERROR(VLOOKUP($B8,MMWR_TRAD_AGG_RO_COMP[],I$1,0),"ERROR")</f>
        <v>7677</v>
      </c>
      <c r="J8" s="217">
        <f t="shared" si="1"/>
        <v>0.82221270215272568</v>
      </c>
      <c r="K8" s="205">
        <f>IFERROR(VLOOKUP($B8,MMWR_TRAD_AGG_RO_COMP[],K$1,0),"ERROR")</f>
        <v>1246</v>
      </c>
      <c r="L8" s="206">
        <f>IFERROR(VLOOKUP($B8,MMWR_TRAD_AGG_RO_COMP[],L$1,0),"ERROR")</f>
        <v>930</v>
      </c>
      <c r="M8" s="217">
        <f t="shared" si="2"/>
        <v>0.7463884430176565</v>
      </c>
      <c r="N8" s="205">
        <f>IFERROR(VLOOKUP($B8,MMWR_TRAD_AGG_RO_COMP[],N$1,0),"ERROR")</f>
        <v>5942</v>
      </c>
      <c r="O8" s="206">
        <f>IFERROR(VLOOKUP($B8,MMWR_TRAD_AGG_RO_COMP[],O$1,0),"ERROR")</f>
        <v>5128</v>
      </c>
      <c r="P8" s="217">
        <f t="shared" si="3"/>
        <v>0.86300908784920904</v>
      </c>
      <c r="Q8" s="202">
        <f>IFERROR(VLOOKUP($B8,MMWR_TRAD_AGG_RO_COMP[],Q$1,0),"ERROR")</f>
        <v>0</v>
      </c>
      <c r="R8" s="202">
        <f>IFERROR(VLOOKUP($B8,MMWR_TRAD_AGG_RO_COMP[],R$1,0),"ERROR")</f>
        <v>3</v>
      </c>
      <c r="S8" s="202">
        <f>IFERROR(VLOOKUP($B8,MMWR_APP_RO[],S$1,0),"ERROR")</f>
        <v>5658</v>
      </c>
      <c r="T8" s="25"/>
    </row>
    <row r="9" spans="1:20" x14ac:dyDescent="0.2">
      <c r="A9" s="107"/>
      <c r="B9" s="108" t="s">
        <v>38</v>
      </c>
      <c r="C9" s="210">
        <f>IFERROR(VLOOKUP($B9,MMWR_TRAD_AGG_RO_COMP[],C$1,0),"ERROR")</f>
        <v>4272</v>
      </c>
      <c r="D9" s="199">
        <f>IFERROR(VLOOKUP($B9,MMWR_TRAD_AGG_RO_COMP[],D$1,0),"ERROR")</f>
        <v>589.27691947569997</v>
      </c>
      <c r="E9" s="196">
        <f>IFERROR(VLOOKUP($B9,MMWR_TRAD_AGG_RO_COMP[],E$1,0),"ERROR")</f>
        <v>3343</v>
      </c>
      <c r="F9" s="192">
        <f>IFERROR(VLOOKUP($B9,MMWR_TRAD_AGG_RO_COMP[],F$1,0),"ERROR")</f>
        <v>936</v>
      </c>
      <c r="G9" s="217">
        <f t="shared" si="0"/>
        <v>0.27998803469937183</v>
      </c>
      <c r="H9" s="191">
        <f>IFERROR(VLOOKUP($B9,MMWR_TRAD_AGG_RO_COMP[],H$1,0),"ERROR")</f>
        <v>5634</v>
      </c>
      <c r="I9" s="192">
        <f>IFERROR(VLOOKUP($B9,MMWR_TRAD_AGG_RO_COMP[],I$1,0),"ERROR")</f>
        <v>4400</v>
      </c>
      <c r="J9" s="217">
        <f t="shared" si="1"/>
        <v>0.78097266595669157</v>
      </c>
      <c r="K9" s="205">
        <f>IFERROR(VLOOKUP($B9,MMWR_TRAD_AGG_RO_COMP[],K$1,0),"ERROR")</f>
        <v>2384</v>
      </c>
      <c r="L9" s="206">
        <f>IFERROR(VLOOKUP($B9,MMWR_TRAD_AGG_RO_COMP[],L$1,0),"ERROR")</f>
        <v>1889</v>
      </c>
      <c r="M9" s="217">
        <f t="shared" si="2"/>
        <v>0.79236577181208057</v>
      </c>
      <c r="N9" s="205">
        <f>IFERROR(VLOOKUP($B9,MMWR_TRAD_AGG_RO_COMP[],N$1,0),"ERROR")</f>
        <v>838</v>
      </c>
      <c r="O9" s="206">
        <f>IFERROR(VLOOKUP($B9,MMWR_TRAD_AGG_RO_COMP[],O$1,0),"ERROR")</f>
        <v>760</v>
      </c>
      <c r="P9" s="217">
        <f t="shared" si="3"/>
        <v>0.90692124105011929</v>
      </c>
      <c r="Q9" s="202">
        <f>IFERROR(VLOOKUP($B9,MMWR_TRAD_AGG_RO_COMP[],Q$1,0),"ERROR")</f>
        <v>0</v>
      </c>
      <c r="R9" s="202">
        <f>IFERROR(VLOOKUP($B9,MMWR_TRAD_AGG_RO_COMP[],R$1,0),"ERROR")</f>
        <v>2</v>
      </c>
      <c r="S9" s="202">
        <f>IFERROR(VLOOKUP($B9,MMWR_APP_RO[],S$1,0),"ERROR")</f>
        <v>3258</v>
      </c>
      <c r="T9" s="25"/>
    </row>
    <row r="10" spans="1:20" x14ac:dyDescent="0.2">
      <c r="A10" s="107"/>
      <c r="B10" s="108" t="s">
        <v>24</v>
      </c>
      <c r="C10" s="210">
        <f>IFERROR(VLOOKUP($B10,MMWR_TRAD_AGG_RO_COMP[],C$1,0),"ERROR")</f>
        <v>1598</v>
      </c>
      <c r="D10" s="199">
        <f>IFERROR(VLOOKUP($B10,MMWR_TRAD_AGG_RO_COMP[],D$1,0),"ERROR")</f>
        <v>172.81414267829999</v>
      </c>
      <c r="E10" s="196">
        <f>IFERROR(VLOOKUP($B10,MMWR_TRAD_AGG_RO_COMP[],E$1,0),"ERROR")</f>
        <v>3767</v>
      </c>
      <c r="F10" s="192">
        <f>IFERROR(VLOOKUP($B10,MMWR_TRAD_AGG_RO_COMP[],F$1,0),"ERROR")</f>
        <v>787</v>
      </c>
      <c r="G10" s="217">
        <f t="shared" si="0"/>
        <v>0.20891956464029732</v>
      </c>
      <c r="H10" s="191">
        <f>IFERROR(VLOOKUP($B10,MMWR_TRAD_AGG_RO_COMP[],H$1,0),"ERROR")</f>
        <v>2598</v>
      </c>
      <c r="I10" s="192">
        <f>IFERROR(VLOOKUP($B10,MMWR_TRAD_AGG_RO_COMP[],I$1,0),"ERROR")</f>
        <v>1104</v>
      </c>
      <c r="J10" s="217">
        <f t="shared" si="1"/>
        <v>0.42494226327944573</v>
      </c>
      <c r="K10" s="205">
        <f>IFERROR(VLOOKUP($B10,MMWR_TRAD_AGG_RO_COMP[],K$1,0),"ERROR")</f>
        <v>389</v>
      </c>
      <c r="L10" s="206">
        <f>IFERROR(VLOOKUP($B10,MMWR_TRAD_AGG_RO_COMP[],L$1,0),"ERROR")</f>
        <v>106</v>
      </c>
      <c r="M10" s="217">
        <f t="shared" si="2"/>
        <v>0.27249357326478146</v>
      </c>
      <c r="N10" s="205">
        <f>IFERROR(VLOOKUP($B10,MMWR_TRAD_AGG_RO_COMP[],N$1,0),"ERROR")</f>
        <v>367</v>
      </c>
      <c r="O10" s="206">
        <f>IFERROR(VLOOKUP($B10,MMWR_TRAD_AGG_RO_COMP[],O$1,0),"ERROR")</f>
        <v>228</v>
      </c>
      <c r="P10" s="217">
        <f t="shared" si="3"/>
        <v>0.62125340599455037</v>
      </c>
      <c r="Q10" s="202">
        <f>IFERROR(VLOOKUP($B10,MMWR_TRAD_AGG_RO_COMP[],Q$1,0),"ERROR")</f>
        <v>0</v>
      </c>
      <c r="R10" s="202">
        <f>IFERROR(VLOOKUP($B10,MMWR_TRAD_AGG_RO_COMP[],R$1,0),"ERROR")</f>
        <v>0</v>
      </c>
      <c r="S10" s="202">
        <f>IFERROR(VLOOKUP($B10,MMWR_APP_RO[],S$1,0),"ERROR")</f>
        <v>1860</v>
      </c>
      <c r="T10" s="25"/>
    </row>
    <row r="11" spans="1:20" x14ac:dyDescent="0.2">
      <c r="A11" s="107"/>
      <c r="B11" s="108" t="s">
        <v>47</v>
      </c>
      <c r="C11" s="210">
        <f>IFERROR(VLOOKUP($B11,MMWR_TRAD_AGG_RO_COMP[],C$1,0),"ERROR")</f>
        <v>1396</v>
      </c>
      <c r="D11" s="199">
        <f>IFERROR(VLOOKUP($B11,MMWR_TRAD_AGG_RO_COMP[],D$1,0),"ERROR")</f>
        <v>289.9097421203</v>
      </c>
      <c r="E11" s="196">
        <f>IFERROR(VLOOKUP($B11,MMWR_TRAD_AGG_RO_COMP[],E$1,0),"ERROR")</f>
        <v>1860</v>
      </c>
      <c r="F11" s="192">
        <f>IFERROR(VLOOKUP($B11,MMWR_TRAD_AGG_RO_COMP[],F$1,0),"ERROR")</f>
        <v>349</v>
      </c>
      <c r="G11" s="217">
        <f t="shared" si="0"/>
        <v>0.18763440860215053</v>
      </c>
      <c r="H11" s="191">
        <f>IFERROR(VLOOKUP($B11,MMWR_TRAD_AGG_RO_COMP[],H$1,0),"ERROR")</f>
        <v>3055</v>
      </c>
      <c r="I11" s="192">
        <f>IFERROR(VLOOKUP($B11,MMWR_TRAD_AGG_RO_COMP[],I$1,0),"ERROR")</f>
        <v>1936</v>
      </c>
      <c r="J11" s="217">
        <f t="shared" si="1"/>
        <v>0.63371522094926347</v>
      </c>
      <c r="K11" s="205">
        <f>IFERROR(VLOOKUP($B11,MMWR_TRAD_AGG_RO_COMP[],K$1,0),"ERROR")</f>
        <v>540</v>
      </c>
      <c r="L11" s="206">
        <f>IFERROR(VLOOKUP($B11,MMWR_TRAD_AGG_RO_COMP[],L$1,0),"ERROR")</f>
        <v>255</v>
      </c>
      <c r="M11" s="217">
        <f t="shared" si="2"/>
        <v>0.47222222222222221</v>
      </c>
      <c r="N11" s="205">
        <f>IFERROR(VLOOKUP($B11,MMWR_TRAD_AGG_RO_COMP[],N$1,0),"ERROR")</f>
        <v>742</v>
      </c>
      <c r="O11" s="206">
        <f>IFERROR(VLOOKUP($B11,MMWR_TRAD_AGG_RO_COMP[],O$1,0),"ERROR")</f>
        <v>578</v>
      </c>
      <c r="P11" s="217">
        <f t="shared" si="3"/>
        <v>0.77897574123989222</v>
      </c>
      <c r="Q11" s="202">
        <f>IFERROR(VLOOKUP($B11,MMWR_TRAD_AGG_RO_COMP[],Q$1,0),"ERROR")</f>
        <v>0</v>
      </c>
      <c r="R11" s="202">
        <f>IFERROR(VLOOKUP($B11,MMWR_TRAD_AGG_RO_COMP[],R$1,0),"ERROR")</f>
        <v>5</v>
      </c>
      <c r="S11" s="202">
        <f>IFERROR(VLOOKUP($B11,MMWR_APP_RO[],S$1,0),"ERROR")</f>
        <v>940</v>
      </c>
      <c r="T11" s="25"/>
    </row>
    <row r="12" spans="1:20" x14ac:dyDescent="0.2">
      <c r="A12" s="107"/>
      <c r="B12" s="108" t="s">
        <v>50</v>
      </c>
      <c r="C12" s="210">
        <f>IFERROR(VLOOKUP($B12,MMWR_TRAD_AGG_RO_COMP[],C$1,0),"ERROR")</f>
        <v>2204</v>
      </c>
      <c r="D12" s="199">
        <f>IFERROR(VLOOKUP($B12,MMWR_TRAD_AGG_RO_COMP[],D$1,0),"ERROR")</f>
        <v>242.12840290380001</v>
      </c>
      <c r="E12" s="196">
        <f>IFERROR(VLOOKUP($B12,MMWR_TRAD_AGG_RO_COMP[],E$1,0),"ERROR")</f>
        <v>2348</v>
      </c>
      <c r="F12" s="192">
        <f>IFERROR(VLOOKUP($B12,MMWR_TRAD_AGG_RO_COMP[],F$1,0),"ERROR")</f>
        <v>325</v>
      </c>
      <c r="G12" s="217">
        <f t="shared" si="0"/>
        <v>0.13841567291311754</v>
      </c>
      <c r="H12" s="191">
        <f>IFERROR(VLOOKUP($B12,MMWR_TRAD_AGG_RO_COMP[],H$1,0),"ERROR")</f>
        <v>3447</v>
      </c>
      <c r="I12" s="192">
        <f>IFERROR(VLOOKUP($B12,MMWR_TRAD_AGG_RO_COMP[],I$1,0),"ERROR")</f>
        <v>2144</v>
      </c>
      <c r="J12" s="217">
        <f t="shared" si="1"/>
        <v>0.62199013635044964</v>
      </c>
      <c r="K12" s="205">
        <f>IFERROR(VLOOKUP($B12,MMWR_TRAD_AGG_RO_COMP[],K$1,0),"ERROR")</f>
        <v>438</v>
      </c>
      <c r="L12" s="206">
        <f>IFERROR(VLOOKUP($B12,MMWR_TRAD_AGG_RO_COMP[],L$1,0),"ERROR")</f>
        <v>75</v>
      </c>
      <c r="M12" s="217">
        <f t="shared" si="2"/>
        <v>0.17123287671232876</v>
      </c>
      <c r="N12" s="205">
        <f>IFERROR(VLOOKUP($B12,MMWR_TRAD_AGG_RO_COMP[],N$1,0),"ERROR")</f>
        <v>1046</v>
      </c>
      <c r="O12" s="206">
        <f>IFERROR(VLOOKUP($B12,MMWR_TRAD_AGG_RO_COMP[],O$1,0),"ERROR")</f>
        <v>803</v>
      </c>
      <c r="P12" s="217">
        <f t="shared" si="3"/>
        <v>0.76768642447418733</v>
      </c>
      <c r="Q12" s="202">
        <f>IFERROR(VLOOKUP($B12,MMWR_TRAD_AGG_RO_COMP[],Q$1,0),"ERROR")</f>
        <v>1</v>
      </c>
      <c r="R12" s="202">
        <f>IFERROR(VLOOKUP($B12,MMWR_TRAD_AGG_RO_COMP[],R$1,0),"ERROR")</f>
        <v>12</v>
      </c>
      <c r="S12" s="202">
        <f>IFERROR(VLOOKUP($B12,MMWR_APP_RO[],S$1,0),"ERROR")</f>
        <v>1939</v>
      </c>
      <c r="T12" s="25"/>
    </row>
    <row r="13" spans="1:20" x14ac:dyDescent="0.2">
      <c r="A13" s="107"/>
      <c r="B13" s="108" t="s">
        <v>57</v>
      </c>
      <c r="C13" s="210">
        <f>IFERROR(VLOOKUP($B13,MMWR_TRAD_AGG_RO_COMP[],C$1,0),"ERROR")</f>
        <v>1555</v>
      </c>
      <c r="D13" s="199">
        <f>IFERROR(VLOOKUP($B13,MMWR_TRAD_AGG_RO_COMP[],D$1,0),"ERROR")</f>
        <v>397.67845659160002</v>
      </c>
      <c r="E13" s="196">
        <f>IFERROR(VLOOKUP($B13,MMWR_TRAD_AGG_RO_COMP[],E$1,0),"ERROR")</f>
        <v>1104</v>
      </c>
      <c r="F13" s="192">
        <f>IFERROR(VLOOKUP($B13,MMWR_TRAD_AGG_RO_COMP[],F$1,0),"ERROR")</f>
        <v>257</v>
      </c>
      <c r="G13" s="217">
        <f t="shared" si="0"/>
        <v>0.23278985507246377</v>
      </c>
      <c r="H13" s="191">
        <f>IFERROR(VLOOKUP($B13,MMWR_TRAD_AGG_RO_COMP[],H$1,0),"ERROR")</f>
        <v>2008</v>
      </c>
      <c r="I13" s="192">
        <f>IFERROR(VLOOKUP($B13,MMWR_TRAD_AGG_RO_COMP[],I$1,0),"ERROR")</f>
        <v>1381</v>
      </c>
      <c r="J13" s="217">
        <f t="shared" si="1"/>
        <v>0.6877490039840638</v>
      </c>
      <c r="K13" s="205">
        <f>IFERROR(VLOOKUP($B13,MMWR_TRAD_AGG_RO_COMP[],K$1,0),"ERROR")</f>
        <v>488</v>
      </c>
      <c r="L13" s="206">
        <f>IFERROR(VLOOKUP($B13,MMWR_TRAD_AGG_RO_COMP[],L$1,0),"ERROR")</f>
        <v>391</v>
      </c>
      <c r="M13" s="217">
        <f t="shared" si="2"/>
        <v>0.80122950819672134</v>
      </c>
      <c r="N13" s="205">
        <f>IFERROR(VLOOKUP($B13,MMWR_TRAD_AGG_RO_COMP[],N$1,0),"ERROR")</f>
        <v>68</v>
      </c>
      <c r="O13" s="206">
        <f>IFERROR(VLOOKUP($B13,MMWR_TRAD_AGG_RO_COMP[],O$1,0),"ERROR")</f>
        <v>58</v>
      </c>
      <c r="P13" s="217">
        <f t="shared" si="3"/>
        <v>0.8529411764705882</v>
      </c>
      <c r="Q13" s="202">
        <f>IFERROR(VLOOKUP($B13,MMWR_TRAD_AGG_RO_COMP[],Q$1,0),"ERROR")</f>
        <v>0</v>
      </c>
      <c r="R13" s="202">
        <f>IFERROR(VLOOKUP($B13,MMWR_TRAD_AGG_RO_COMP[],R$1,0),"ERROR")</f>
        <v>0</v>
      </c>
      <c r="S13" s="202">
        <f>IFERROR(VLOOKUP($B13,MMWR_APP_RO[],S$1,0),"ERROR")</f>
        <v>619</v>
      </c>
      <c r="T13" s="25"/>
    </row>
    <row r="14" spans="1:20" x14ac:dyDescent="0.2">
      <c r="A14" s="107"/>
      <c r="B14" s="108" t="s">
        <v>63</v>
      </c>
      <c r="C14" s="210">
        <f>IFERROR(VLOOKUP($B14,MMWR_TRAD_AGG_RO_COMP[],C$1,0),"ERROR")</f>
        <v>4591</v>
      </c>
      <c r="D14" s="199">
        <f>IFERROR(VLOOKUP($B14,MMWR_TRAD_AGG_RO_COMP[],D$1,0),"ERROR")</f>
        <v>303.00108908729999</v>
      </c>
      <c r="E14" s="196">
        <f>IFERROR(VLOOKUP($B14,MMWR_TRAD_AGG_RO_COMP[],E$1,0),"ERROR")</f>
        <v>4684</v>
      </c>
      <c r="F14" s="192">
        <f>IFERROR(VLOOKUP($B14,MMWR_TRAD_AGG_RO_COMP[],F$1,0),"ERROR")</f>
        <v>1143</v>
      </c>
      <c r="G14" s="217">
        <f t="shared" si="0"/>
        <v>0.24402220324508966</v>
      </c>
      <c r="H14" s="191">
        <f>IFERROR(VLOOKUP($B14,MMWR_TRAD_AGG_RO_COMP[],H$1,0),"ERROR")</f>
        <v>6156</v>
      </c>
      <c r="I14" s="192">
        <f>IFERROR(VLOOKUP($B14,MMWR_TRAD_AGG_RO_COMP[],I$1,0),"ERROR")</f>
        <v>4210</v>
      </c>
      <c r="J14" s="217">
        <f t="shared" si="1"/>
        <v>0.68388564002599095</v>
      </c>
      <c r="K14" s="205">
        <f>IFERROR(VLOOKUP($B14,MMWR_TRAD_AGG_RO_COMP[],K$1,0),"ERROR")</f>
        <v>3654</v>
      </c>
      <c r="L14" s="206">
        <f>IFERROR(VLOOKUP($B14,MMWR_TRAD_AGG_RO_COMP[],L$1,0),"ERROR")</f>
        <v>3005</v>
      </c>
      <c r="M14" s="217">
        <f t="shared" si="2"/>
        <v>0.82238642583470167</v>
      </c>
      <c r="N14" s="205">
        <f>IFERROR(VLOOKUP($B14,MMWR_TRAD_AGG_RO_COMP[],N$1,0),"ERROR")</f>
        <v>560</v>
      </c>
      <c r="O14" s="206">
        <f>IFERROR(VLOOKUP($B14,MMWR_TRAD_AGG_RO_COMP[],O$1,0),"ERROR")</f>
        <v>191</v>
      </c>
      <c r="P14" s="217">
        <f t="shared" si="3"/>
        <v>0.34107142857142858</v>
      </c>
      <c r="Q14" s="202">
        <f>IFERROR(VLOOKUP($B14,MMWR_TRAD_AGG_RO_COMP[],Q$1,0),"ERROR")</f>
        <v>0</v>
      </c>
      <c r="R14" s="202">
        <f>IFERROR(VLOOKUP($B14,MMWR_TRAD_AGG_RO_COMP[],R$1,0),"ERROR")</f>
        <v>1</v>
      </c>
      <c r="S14" s="202">
        <f>IFERROR(VLOOKUP($B14,MMWR_APP_RO[],S$1,0),"ERROR")</f>
        <v>3239</v>
      </c>
      <c r="T14" s="25"/>
    </row>
    <row r="15" spans="1:20" x14ac:dyDescent="0.2">
      <c r="A15" s="107"/>
      <c r="B15" s="108" t="s">
        <v>64</v>
      </c>
      <c r="C15" s="210">
        <f>IFERROR(VLOOKUP($B15,MMWR_TRAD_AGG_RO_COMP[],C$1,0),"ERROR")</f>
        <v>871</v>
      </c>
      <c r="D15" s="199">
        <f>IFERROR(VLOOKUP($B15,MMWR_TRAD_AGG_RO_COMP[],D$1,0),"ERROR")</f>
        <v>124.1021814007</v>
      </c>
      <c r="E15" s="196">
        <f>IFERROR(VLOOKUP($B15,MMWR_TRAD_AGG_RO_COMP[],E$1,0),"ERROR")</f>
        <v>2486</v>
      </c>
      <c r="F15" s="192">
        <f>IFERROR(VLOOKUP($B15,MMWR_TRAD_AGG_RO_COMP[],F$1,0),"ERROR")</f>
        <v>512</v>
      </c>
      <c r="G15" s="217">
        <f t="shared" si="0"/>
        <v>0.20595333869670152</v>
      </c>
      <c r="H15" s="191">
        <f>IFERROR(VLOOKUP($B15,MMWR_TRAD_AGG_RO_COMP[],H$1,0),"ERROR")</f>
        <v>1551</v>
      </c>
      <c r="I15" s="192">
        <f>IFERROR(VLOOKUP($B15,MMWR_TRAD_AGG_RO_COMP[],I$1,0),"ERROR")</f>
        <v>448</v>
      </c>
      <c r="J15" s="217">
        <f t="shared" si="1"/>
        <v>0.28884590586718245</v>
      </c>
      <c r="K15" s="205">
        <f>IFERROR(VLOOKUP($B15,MMWR_TRAD_AGG_RO_COMP[],K$1,0),"ERROR")</f>
        <v>750</v>
      </c>
      <c r="L15" s="206">
        <f>IFERROR(VLOOKUP($B15,MMWR_TRAD_AGG_RO_COMP[],L$1,0),"ERROR")</f>
        <v>539</v>
      </c>
      <c r="M15" s="217">
        <f t="shared" si="2"/>
        <v>0.71866666666666668</v>
      </c>
      <c r="N15" s="205">
        <f>IFERROR(VLOOKUP($B15,MMWR_TRAD_AGG_RO_COMP[],N$1,0),"ERROR")</f>
        <v>1880</v>
      </c>
      <c r="O15" s="206">
        <f>IFERROR(VLOOKUP($B15,MMWR_TRAD_AGG_RO_COMP[],O$1,0),"ERROR")</f>
        <v>1401</v>
      </c>
      <c r="P15" s="217">
        <f t="shared" si="3"/>
        <v>0.74521276595744679</v>
      </c>
      <c r="Q15" s="202">
        <f>IFERROR(VLOOKUP($B15,MMWR_TRAD_AGG_RO_COMP[],Q$1,0),"ERROR")</f>
        <v>0</v>
      </c>
      <c r="R15" s="202">
        <f>IFERROR(VLOOKUP($B15,MMWR_TRAD_AGG_RO_COMP[],R$1,0),"ERROR")</f>
        <v>1</v>
      </c>
      <c r="S15" s="202">
        <f>IFERROR(VLOOKUP($B15,MMWR_APP_RO[],S$1,0),"ERROR")</f>
        <v>2653</v>
      </c>
      <c r="T15" s="25"/>
    </row>
    <row r="16" spans="1:20" x14ac:dyDescent="0.2">
      <c r="A16" s="107"/>
      <c r="B16" s="108" t="s">
        <v>66</v>
      </c>
      <c r="C16" s="210">
        <f>IFERROR(VLOOKUP($B16,MMWR_TRAD_AGG_RO_COMP[],C$1,0),"ERROR")</f>
        <v>6156</v>
      </c>
      <c r="D16" s="199">
        <f>IFERROR(VLOOKUP($B16,MMWR_TRAD_AGG_RO_COMP[],D$1,0),"ERROR")</f>
        <v>381.47628330079999</v>
      </c>
      <c r="E16" s="196">
        <f>IFERROR(VLOOKUP($B16,MMWR_TRAD_AGG_RO_COMP[],E$1,0),"ERROR")</f>
        <v>11561</v>
      </c>
      <c r="F16" s="192">
        <f>IFERROR(VLOOKUP($B16,MMWR_TRAD_AGG_RO_COMP[],F$1,0),"ERROR")</f>
        <v>2868</v>
      </c>
      <c r="G16" s="217">
        <f t="shared" si="0"/>
        <v>0.24807542600121096</v>
      </c>
      <c r="H16" s="191">
        <f>IFERROR(VLOOKUP($B16,MMWR_TRAD_AGG_RO_COMP[],H$1,0),"ERROR")</f>
        <v>9332</v>
      </c>
      <c r="I16" s="192">
        <f>IFERROR(VLOOKUP($B16,MMWR_TRAD_AGG_RO_COMP[],I$1,0),"ERROR")</f>
        <v>6592</v>
      </c>
      <c r="J16" s="217">
        <f t="shared" si="1"/>
        <v>0.70638662666095153</v>
      </c>
      <c r="K16" s="205">
        <f>IFERROR(VLOOKUP($B16,MMWR_TRAD_AGG_RO_COMP[],K$1,0),"ERROR")</f>
        <v>2124</v>
      </c>
      <c r="L16" s="206">
        <f>IFERROR(VLOOKUP($B16,MMWR_TRAD_AGG_RO_COMP[],L$1,0),"ERROR")</f>
        <v>569</v>
      </c>
      <c r="M16" s="217">
        <f t="shared" si="2"/>
        <v>0.26789077212806028</v>
      </c>
      <c r="N16" s="205">
        <f>IFERROR(VLOOKUP($B16,MMWR_TRAD_AGG_RO_COMP[],N$1,0),"ERROR")</f>
        <v>6987</v>
      </c>
      <c r="O16" s="206">
        <f>IFERROR(VLOOKUP($B16,MMWR_TRAD_AGG_RO_COMP[],O$1,0),"ERROR")</f>
        <v>6255</v>
      </c>
      <c r="P16" s="217">
        <f t="shared" si="3"/>
        <v>0.89523400601116354</v>
      </c>
      <c r="Q16" s="202">
        <f>IFERROR(VLOOKUP($B16,MMWR_TRAD_AGG_RO_COMP[],Q$1,0),"ERROR")</f>
        <v>12598</v>
      </c>
      <c r="R16" s="202">
        <f>IFERROR(VLOOKUP($B16,MMWR_TRAD_AGG_RO_COMP[],R$1,0),"ERROR")</f>
        <v>0</v>
      </c>
      <c r="S16" s="202">
        <f>IFERROR(VLOOKUP($B16,MMWR_APP_RO[],S$1,0),"ERROR")</f>
        <v>5427</v>
      </c>
      <c r="T16" s="25"/>
    </row>
    <row r="17" spans="1:20" x14ac:dyDescent="0.2">
      <c r="A17" s="107"/>
      <c r="B17" s="108" t="s">
        <v>68</v>
      </c>
      <c r="C17" s="210">
        <f>IFERROR(VLOOKUP($B17,MMWR_TRAD_AGG_RO_COMP[],C$1,0),"ERROR")</f>
        <v>4355</v>
      </c>
      <c r="D17" s="199">
        <f>IFERROR(VLOOKUP($B17,MMWR_TRAD_AGG_RO_COMP[],D$1,0),"ERROR")</f>
        <v>489.6273249139</v>
      </c>
      <c r="E17" s="196">
        <f>IFERROR(VLOOKUP($B17,MMWR_TRAD_AGG_RO_COMP[],E$1,0),"ERROR")</f>
        <v>5274</v>
      </c>
      <c r="F17" s="192">
        <f>IFERROR(VLOOKUP($B17,MMWR_TRAD_AGG_RO_COMP[],F$1,0),"ERROR")</f>
        <v>1560</v>
      </c>
      <c r="G17" s="217">
        <f t="shared" si="0"/>
        <v>0.29579067121729236</v>
      </c>
      <c r="H17" s="191">
        <f>IFERROR(VLOOKUP($B17,MMWR_TRAD_AGG_RO_COMP[],H$1,0),"ERROR")</f>
        <v>5911</v>
      </c>
      <c r="I17" s="192">
        <f>IFERROR(VLOOKUP($B17,MMWR_TRAD_AGG_RO_COMP[],I$1,0),"ERROR")</f>
        <v>4634</v>
      </c>
      <c r="J17" s="217">
        <f t="shared" si="1"/>
        <v>0.78396210455083737</v>
      </c>
      <c r="K17" s="205">
        <f>IFERROR(VLOOKUP($B17,MMWR_TRAD_AGG_RO_COMP[],K$1,0),"ERROR")</f>
        <v>674</v>
      </c>
      <c r="L17" s="206">
        <f>IFERROR(VLOOKUP($B17,MMWR_TRAD_AGG_RO_COMP[],L$1,0),"ERROR")</f>
        <v>330</v>
      </c>
      <c r="M17" s="217">
        <f t="shared" si="2"/>
        <v>0.48961424332344211</v>
      </c>
      <c r="N17" s="205">
        <f>IFERROR(VLOOKUP($B17,MMWR_TRAD_AGG_RO_COMP[],N$1,0),"ERROR")</f>
        <v>1015</v>
      </c>
      <c r="O17" s="206">
        <f>IFERROR(VLOOKUP($B17,MMWR_TRAD_AGG_RO_COMP[],O$1,0),"ERROR")</f>
        <v>716</v>
      </c>
      <c r="P17" s="217">
        <f t="shared" si="3"/>
        <v>0.70541871921182264</v>
      </c>
      <c r="Q17" s="202">
        <f>IFERROR(VLOOKUP($B17,MMWR_TRAD_AGG_RO_COMP[],Q$1,0),"ERROR")</f>
        <v>0</v>
      </c>
      <c r="R17" s="202">
        <f>IFERROR(VLOOKUP($B17,MMWR_TRAD_AGG_RO_COMP[],R$1,0),"ERROR")</f>
        <v>1</v>
      </c>
      <c r="S17" s="202">
        <f>IFERROR(VLOOKUP($B17,MMWR_APP_RO[],S$1,0),"ERROR")</f>
        <v>5011</v>
      </c>
      <c r="T17" s="25"/>
    </row>
    <row r="18" spans="1:20" x14ac:dyDescent="0.2">
      <c r="A18" s="107"/>
      <c r="B18" s="108" t="s">
        <v>70</v>
      </c>
      <c r="C18" s="210">
        <f>IFERROR(VLOOKUP($B18,MMWR_TRAD_AGG_RO_COMP[],C$1,0),"ERROR")</f>
        <v>1079</v>
      </c>
      <c r="D18" s="199">
        <f>IFERROR(VLOOKUP($B18,MMWR_TRAD_AGG_RO_COMP[],D$1,0),"ERROR")</f>
        <v>211.35866543099999</v>
      </c>
      <c r="E18" s="196">
        <f>IFERROR(VLOOKUP($B18,MMWR_TRAD_AGG_RO_COMP[],E$1,0),"ERROR")</f>
        <v>2188</v>
      </c>
      <c r="F18" s="192">
        <f>IFERROR(VLOOKUP($B18,MMWR_TRAD_AGG_RO_COMP[],F$1,0),"ERROR")</f>
        <v>393</v>
      </c>
      <c r="G18" s="217">
        <f t="shared" si="0"/>
        <v>0.17961608775137111</v>
      </c>
      <c r="H18" s="191">
        <f>IFERROR(VLOOKUP($B18,MMWR_TRAD_AGG_RO_COMP[],H$1,0),"ERROR")</f>
        <v>4369</v>
      </c>
      <c r="I18" s="192">
        <f>IFERROR(VLOOKUP($B18,MMWR_TRAD_AGG_RO_COMP[],I$1,0),"ERROR")</f>
        <v>1099</v>
      </c>
      <c r="J18" s="217">
        <f t="shared" si="1"/>
        <v>0.25154497596704051</v>
      </c>
      <c r="K18" s="205">
        <f>IFERROR(VLOOKUP($B18,MMWR_TRAD_AGG_RO_COMP[],K$1,0),"ERROR")</f>
        <v>3380</v>
      </c>
      <c r="L18" s="206">
        <f>IFERROR(VLOOKUP($B18,MMWR_TRAD_AGG_RO_COMP[],L$1,0),"ERROR")</f>
        <v>2459</v>
      </c>
      <c r="M18" s="217">
        <f t="shared" si="2"/>
        <v>0.72751479289940824</v>
      </c>
      <c r="N18" s="205">
        <f>IFERROR(VLOOKUP($B18,MMWR_TRAD_AGG_RO_COMP[],N$1,0),"ERROR")</f>
        <v>350</v>
      </c>
      <c r="O18" s="206">
        <f>IFERROR(VLOOKUP($B18,MMWR_TRAD_AGG_RO_COMP[],O$1,0),"ERROR")</f>
        <v>143</v>
      </c>
      <c r="P18" s="217">
        <f t="shared" si="3"/>
        <v>0.40857142857142859</v>
      </c>
      <c r="Q18" s="202">
        <f>IFERROR(VLOOKUP($B18,MMWR_TRAD_AGG_RO_COMP[],Q$1,0),"ERROR")</f>
        <v>0</v>
      </c>
      <c r="R18" s="202">
        <f>IFERROR(VLOOKUP($B18,MMWR_TRAD_AGG_RO_COMP[],R$1,0),"ERROR")</f>
        <v>0</v>
      </c>
      <c r="S18" s="202">
        <f>IFERROR(VLOOKUP($B18,MMWR_APP_RO[],S$1,0),"ERROR")</f>
        <v>484</v>
      </c>
      <c r="T18" s="25"/>
    </row>
    <row r="19" spans="1:20" x14ac:dyDescent="0.2">
      <c r="A19" s="107"/>
      <c r="B19" s="108" t="s">
        <v>72</v>
      </c>
      <c r="C19" s="210">
        <f>IFERROR(VLOOKUP($B19,MMWR_TRAD_AGG_RO_COMP[],C$1,0),"ERROR")</f>
        <v>14477</v>
      </c>
      <c r="D19" s="199">
        <f>IFERROR(VLOOKUP($B19,MMWR_TRAD_AGG_RO_COMP[],D$1,0),"ERROR")</f>
        <v>472.6216066865</v>
      </c>
      <c r="E19" s="196">
        <f>IFERROR(VLOOKUP($B19,MMWR_TRAD_AGG_RO_COMP[],E$1,0),"ERROR")</f>
        <v>12566</v>
      </c>
      <c r="F19" s="192">
        <f>IFERROR(VLOOKUP($B19,MMWR_TRAD_AGG_RO_COMP[],F$1,0),"ERROR")</f>
        <v>2416</v>
      </c>
      <c r="G19" s="217">
        <f t="shared" si="0"/>
        <v>0.19226484163616106</v>
      </c>
      <c r="H19" s="191">
        <f>IFERROR(VLOOKUP($B19,MMWR_TRAD_AGG_RO_COMP[],H$1,0),"ERROR")</f>
        <v>16351</v>
      </c>
      <c r="I19" s="192">
        <f>IFERROR(VLOOKUP($B19,MMWR_TRAD_AGG_RO_COMP[],I$1,0),"ERROR")</f>
        <v>11890</v>
      </c>
      <c r="J19" s="217">
        <f t="shared" si="1"/>
        <v>0.7271726499908262</v>
      </c>
      <c r="K19" s="205">
        <f>IFERROR(VLOOKUP($B19,MMWR_TRAD_AGG_RO_COMP[],K$1,0),"ERROR")</f>
        <v>6484</v>
      </c>
      <c r="L19" s="206">
        <f>IFERROR(VLOOKUP($B19,MMWR_TRAD_AGG_RO_COMP[],L$1,0),"ERROR")</f>
        <v>5078</v>
      </c>
      <c r="M19" s="217">
        <f t="shared" si="2"/>
        <v>0.78315854410857499</v>
      </c>
      <c r="N19" s="205">
        <f>IFERROR(VLOOKUP($B19,MMWR_TRAD_AGG_RO_COMP[],N$1,0),"ERROR")</f>
        <v>4385</v>
      </c>
      <c r="O19" s="206">
        <f>IFERROR(VLOOKUP($B19,MMWR_TRAD_AGG_RO_COMP[],O$1,0),"ERROR")</f>
        <v>3678</v>
      </c>
      <c r="P19" s="217">
        <f t="shared" si="3"/>
        <v>0.83876852907639676</v>
      </c>
      <c r="Q19" s="202">
        <f>IFERROR(VLOOKUP($B19,MMWR_TRAD_AGG_RO_COMP[],Q$1,0),"ERROR")</f>
        <v>7</v>
      </c>
      <c r="R19" s="202">
        <f>IFERROR(VLOOKUP($B19,MMWR_TRAD_AGG_RO_COMP[],R$1,0),"ERROR")</f>
        <v>11</v>
      </c>
      <c r="S19" s="202">
        <f>IFERROR(VLOOKUP($B19,MMWR_APP_RO[],S$1,0),"ERROR")</f>
        <v>15205</v>
      </c>
      <c r="T19" s="25"/>
    </row>
    <row r="20" spans="1:20" x14ac:dyDescent="0.2">
      <c r="A20" s="107"/>
      <c r="B20" s="108" t="s">
        <v>81</v>
      </c>
      <c r="C20" s="210">
        <f>IFERROR(VLOOKUP($B20,MMWR_TRAD_AGG_RO_COMP[],C$1,0),"ERROR")</f>
        <v>1439</v>
      </c>
      <c r="D20" s="199">
        <f>IFERROR(VLOOKUP($B20,MMWR_TRAD_AGG_RO_COMP[],D$1,0),"ERROR")</f>
        <v>250.3877692842</v>
      </c>
      <c r="E20" s="196">
        <f>IFERROR(VLOOKUP($B20,MMWR_TRAD_AGG_RO_COMP[],E$1,0),"ERROR")</f>
        <v>1070</v>
      </c>
      <c r="F20" s="192">
        <f>IFERROR(VLOOKUP($B20,MMWR_TRAD_AGG_RO_COMP[],F$1,0),"ERROR")</f>
        <v>153</v>
      </c>
      <c r="G20" s="217">
        <f t="shared" si="0"/>
        <v>0.14299065420560747</v>
      </c>
      <c r="H20" s="191">
        <f>IFERROR(VLOOKUP($B20,MMWR_TRAD_AGG_RO_COMP[],H$1,0),"ERROR")</f>
        <v>2180</v>
      </c>
      <c r="I20" s="192">
        <f>IFERROR(VLOOKUP($B20,MMWR_TRAD_AGG_RO_COMP[],I$1,0),"ERROR")</f>
        <v>1303</v>
      </c>
      <c r="J20" s="217">
        <f t="shared" si="1"/>
        <v>0.59770642201834867</v>
      </c>
      <c r="K20" s="205">
        <f>IFERROR(VLOOKUP($B20,MMWR_TRAD_AGG_RO_COMP[],K$1,0),"ERROR")</f>
        <v>1478</v>
      </c>
      <c r="L20" s="206">
        <f>IFERROR(VLOOKUP($B20,MMWR_TRAD_AGG_RO_COMP[],L$1,0),"ERROR")</f>
        <v>863</v>
      </c>
      <c r="M20" s="217">
        <f t="shared" si="2"/>
        <v>0.5838971583220568</v>
      </c>
      <c r="N20" s="205">
        <f>IFERROR(VLOOKUP($B20,MMWR_TRAD_AGG_RO_COMP[],N$1,0),"ERROR")</f>
        <v>664</v>
      </c>
      <c r="O20" s="206">
        <f>IFERROR(VLOOKUP($B20,MMWR_TRAD_AGG_RO_COMP[],O$1,0),"ERROR")</f>
        <v>626</v>
      </c>
      <c r="P20" s="217">
        <f t="shared" si="3"/>
        <v>0.94277108433734935</v>
      </c>
      <c r="Q20" s="202">
        <f>IFERROR(VLOOKUP($B20,MMWR_TRAD_AGG_RO_COMP[],Q$1,0),"ERROR")</f>
        <v>1</v>
      </c>
      <c r="R20" s="202">
        <f>IFERROR(VLOOKUP($B20,MMWR_TRAD_AGG_RO_COMP[],R$1,0),"ERROR")</f>
        <v>0</v>
      </c>
      <c r="S20" s="202">
        <f>IFERROR(VLOOKUP($B20,MMWR_APP_RO[],S$1,0),"ERROR")</f>
        <v>386</v>
      </c>
      <c r="T20" s="25"/>
    </row>
    <row r="21" spans="1:20" x14ac:dyDescent="0.2">
      <c r="A21" s="107"/>
      <c r="B21" s="108" t="s">
        <v>437</v>
      </c>
      <c r="C21" s="210">
        <f>IFERROR(VLOOKUP($B21,MMWR_TRAD_AGG_RO_COMP[],C$1,0),"ERROR")</f>
        <v>34282</v>
      </c>
      <c r="D21" s="199">
        <f>IFERROR(VLOOKUP($B21,MMWR_TRAD_AGG_RO_COMP[],D$1,0),"ERROR")</f>
        <v>538.91747856020004</v>
      </c>
      <c r="E21" s="196">
        <f>IFERROR(VLOOKUP($B21,MMWR_TRAD_AGG_RO_COMP[],E$1,0),"ERROR")</f>
        <v>1501</v>
      </c>
      <c r="F21" s="192">
        <f>IFERROR(VLOOKUP($B21,MMWR_TRAD_AGG_RO_COMP[],F$1,0),"ERROR")</f>
        <v>543</v>
      </c>
      <c r="G21" s="217">
        <f t="shared" si="0"/>
        <v>0.36175882744836774</v>
      </c>
      <c r="H21" s="191">
        <f>IFERROR(VLOOKUP($B21,MMWR_TRAD_AGG_RO_COMP[],H$1,0),"ERROR")</f>
        <v>34809</v>
      </c>
      <c r="I21" s="192">
        <f>IFERROR(VLOOKUP($B21,MMWR_TRAD_AGG_RO_COMP[],I$1,0),"ERROR")</f>
        <v>32776</v>
      </c>
      <c r="J21" s="217">
        <f t="shared" si="1"/>
        <v>0.9415955643655376</v>
      </c>
      <c r="K21" s="205">
        <f>IFERROR(VLOOKUP($B21,MMWR_TRAD_AGG_RO_COMP[],K$1,0),"ERROR")</f>
        <v>264</v>
      </c>
      <c r="L21" s="206">
        <f>IFERROR(VLOOKUP($B21,MMWR_TRAD_AGG_RO_COMP[],L$1,0),"ERROR")</f>
        <v>134</v>
      </c>
      <c r="M21" s="217">
        <f t="shared" si="2"/>
        <v>0.50757575757575757</v>
      </c>
      <c r="N21" s="205">
        <f>IFERROR(VLOOKUP($B21,MMWR_TRAD_AGG_RO_COMP[],N$1,0),"ERROR")</f>
        <v>1244</v>
      </c>
      <c r="O21" s="206">
        <f>IFERROR(VLOOKUP($B21,MMWR_TRAD_AGG_RO_COMP[],O$1,0),"ERROR")</f>
        <v>1126</v>
      </c>
      <c r="P21" s="217">
        <f t="shared" si="3"/>
        <v>0.90514469453376201</v>
      </c>
      <c r="Q21" s="202">
        <f>IFERROR(VLOOKUP($B21,MMWR_TRAD_AGG_RO_COMP[],Q$1,0),"ERROR")</f>
        <v>0</v>
      </c>
      <c r="R21" s="202">
        <f>IFERROR(VLOOKUP($B21,MMWR_TRAD_AGG_RO_COMP[],R$1,0),"ERROR")</f>
        <v>0</v>
      </c>
      <c r="S21" s="202">
        <f>IFERROR(VLOOKUP($B21,MMWR_APP_RO[],S$1,0),"ERROR")</f>
        <v>20</v>
      </c>
      <c r="T21" s="25"/>
    </row>
    <row r="22" spans="1:20" x14ac:dyDescent="0.2">
      <c r="A22" s="107"/>
      <c r="B22" s="108" t="s">
        <v>141</v>
      </c>
      <c r="C22" s="210">
        <f>IFERROR(VLOOKUP($B22,MMWR_TRAD_AGG_RO_COMP[],C$1,0),"ERROR")</f>
        <v>424</v>
      </c>
      <c r="D22" s="199">
        <f>IFERROR(VLOOKUP($B22,MMWR_TRAD_AGG_RO_COMP[],D$1,0),"ERROR")</f>
        <v>369.74764150940001</v>
      </c>
      <c r="E22" s="196">
        <f>IFERROR(VLOOKUP($B22,MMWR_TRAD_AGG_RO_COMP[],E$1,0),"ERROR")</f>
        <v>496</v>
      </c>
      <c r="F22" s="192">
        <f>IFERROR(VLOOKUP($B22,MMWR_TRAD_AGG_RO_COMP[],F$1,0),"ERROR")</f>
        <v>111</v>
      </c>
      <c r="G22" s="217">
        <f t="shared" si="0"/>
        <v>0.22379032258064516</v>
      </c>
      <c r="H22" s="191">
        <f>IFERROR(VLOOKUP($B22,MMWR_TRAD_AGG_RO_COMP[],H$1,0),"ERROR")</f>
        <v>607</v>
      </c>
      <c r="I22" s="192">
        <f>IFERROR(VLOOKUP($B22,MMWR_TRAD_AGG_RO_COMP[],I$1,0),"ERROR")</f>
        <v>423</v>
      </c>
      <c r="J22" s="217">
        <f t="shared" si="1"/>
        <v>0.69686985172981875</v>
      </c>
      <c r="K22" s="205">
        <f>IFERROR(VLOOKUP($B22,MMWR_TRAD_AGG_RO_COMP[],K$1,0),"ERROR")</f>
        <v>94</v>
      </c>
      <c r="L22" s="206">
        <f>IFERROR(VLOOKUP($B22,MMWR_TRAD_AGG_RO_COMP[],L$1,0),"ERROR")</f>
        <v>44</v>
      </c>
      <c r="M22" s="217">
        <f t="shared" si="2"/>
        <v>0.46808510638297873</v>
      </c>
      <c r="N22" s="205">
        <f>IFERROR(VLOOKUP($B22,MMWR_TRAD_AGG_RO_COMP[],N$1,0),"ERROR")</f>
        <v>74</v>
      </c>
      <c r="O22" s="206">
        <f>IFERROR(VLOOKUP($B22,MMWR_TRAD_AGG_RO_COMP[],O$1,0),"ERROR")</f>
        <v>56</v>
      </c>
      <c r="P22" s="217">
        <f t="shared" si="3"/>
        <v>0.7567567567567568</v>
      </c>
      <c r="Q22" s="202">
        <f>IFERROR(VLOOKUP($B22,MMWR_TRAD_AGG_RO_COMP[],Q$1,0),"ERROR")</f>
        <v>0</v>
      </c>
      <c r="R22" s="202">
        <f>IFERROR(VLOOKUP($B22,MMWR_TRAD_AGG_RO_COMP[],R$1,0),"ERROR")</f>
        <v>1</v>
      </c>
      <c r="S22" s="202">
        <f>IFERROR(VLOOKUP($B22,MMWR_APP_RO[],S$1,0),"ERROR")</f>
        <v>124</v>
      </c>
      <c r="T22" s="25"/>
    </row>
    <row r="23" spans="1:20" x14ac:dyDescent="0.2">
      <c r="A23" s="107"/>
      <c r="B23" s="108" t="s">
        <v>85</v>
      </c>
      <c r="C23" s="210">
        <f>IFERROR(VLOOKUP($B23,MMWR_TRAD_AGG_RO_COMP[],C$1,0),"ERROR")</f>
        <v>618</v>
      </c>
      <c r="D23" s="199">
        <f>IFERROR(VLOOKUP($B23,MMWR_TRAD_AGG_RO_COMP[],D$1,0),"ERROR")</f>
        <v>371.1666666667</v>
      </c>
      <c r="E23" s="196">
        <f>IFERROR(VLOOKUP($B23,MMWR_TRAD_AGG_RO_COMP[],E$1,0),"ERROR")</f>
        <v>743</v>
      </c>
      <c r="F23" s="192">
        <f>IFERROR(VLOOKUP($B23,MMWR_TRAD_AGG_RO_COMP[],F$1,0),"ERROR")</f>
        <v>217</v>
      </c>
      <c r="G23" s="217">
        <f t="shared" si="0"/>
        <v>0.2920592193808883</v>
      </c>
      <c r="H23" s="191">
        <f>IFERROR(VLOOKUP($B23,MMWR_TRAD_AGG_RO_COMP[],H$1,0),"ERROR")</f>
        <v>674</v>
      </c>
      <c r="I23" s="192">
        <f>IFERROR(VLOOKUP($B23,MMWR_TRAD_AGG_RO_COMP[],I$1,0),"ERROR")</f>
        <v>535</v>
      </c>
      <c r="J23" s="217">
        <f t="shared" si="1"/>
        <v>0.79376854599406532</v>
      </c>
      <c r="K23" s="205">
        <f>IFERROR(VLOOKUP($B23,MMWR_TRAD_AGG_RO_COMP[],K$1,0),"ERROR")</f>
        <v>38</v>
      </c>
      <c r="L23" s="206">
        <f>IFERROR(VLOOKUP($B23,MMWR_TRAD_AGG_RO_COMP[],L$1,0),"ERROR")</f>
        <v>1</v>
      </c>
      <c r="M23" s="217">
        <f t="shared" si="2"/>
        <v>2.6315789473684209E-2</v>
      </c>
      <c r="N23" s="205">
        <f>IFERROR(VLOOKUP($B23,MMWR_TRAD_AGG_RO_COMP[],N$1,0),"ERROR")</f>
        <v>134</v>
      </c>
      <c r="O23" s="206">
        <f>IFERROR(VLOOKUP($B23,MMWR_TRAD_AGG_RO_COMP[],O$1,0),"ERROR")</f>
        <v>63</v>
      </c>
      <c r="P23" s="217">
        <f t="shared" si="3"/>
        <v>0.47014925373134331</v>
      </c>
      <c r="Q23" s="202">
        <f>IFERROR(VLOOKUP($B23,MMWR_TRAD_AGG_RO_COMP[],Q$1,0),"ERROR")</f>
        <v>0</v>
      </c>
      <c r="R23" s="202">
        <f>IFERROR(VLOOKUP($B23,MMWR_TRAD_AGG_RO_COMP[],R$1,0),"ERROR")</f>
        <v>0</v>
      </c>
      <c r="S23" s="202">
        <f>IFERROR(VLOOKUP($B23,MMWR_APP_RO[],S$1,0),"ERROR")</f>
        <v>181</v>
      </c>
      <c r="T23" s="25"/>
    </row>
    <row r="24" spans="1:20" x14ac:dyDescent="0.2">
      <c r="A24" s="92"/>
      <c r="B24" s="116" t="s">
        <v>86</v>
      </c>
      <c r="C24" s="211">
        <f>IFERROR(VLOOKUP($B24,MMWR_TRAD_AGG_RO_COMP[],C$1,0),"ERROR")</f>
        <v>18756</v>
      </c>
      <c r="D24" s="200">
        <f>IFERROR(VLOOKUP($B24,MMWR_TRAD_AGG_RO_COMP[],D$1,0),"ERROR")</f>
        <v>361.08061420349998</v>
      </c>
      <c r="E24" s="197">
        <f>IFERROR(VLOOKUP($B24,MMWR_TRAD_AGG_RO_COMP[],E$1,0),"ERROR")</f>
        <v>19511</v>
      </c>
      <c r="F24" s="194">
        <f>IFERROR(VLOOKUP($B24,MMWR_TRAD_AGG_RO_COMP[],F$1,0),"ERROR")</f>
        <v>5019</v>
      </c>
      <c r="G24" s="218">
        <f t="shared" si="0"/>
        <v>0.2572395059197376</v>
      </c>
      <c r="H24" s="193">
        <f>IFERROR(VLOOKUP($B24,MMWR_TRAD_AGG_RO_COMP[],H$1,0),"ERROR")</f>
        <v>31171</v>
      </c>
      <c r="I24" s="194">
        <f>IFERROR(VLOOKUP($B24,MMWR_TRAD_AGG_RO_COMP[],I$1,0),"ERROR")</f>
        <v>18819</v>
      </c>
      <c r="J24" s="218">
        <f t="shared" si="1"/>
        <v>0.60373424015912225</v>
      </c>
      <c r="K24" s="207">
        <f>IFERROR(VLOOKUP($B24,MMWR_TRAD_AGG_RO_COMP[],K$1,0),"ERROR")</f>
        <v>7996</v>
      </c>
      <c r="L24" s="208">
        <f>IFERROR(VLOOKUP($B24,MMWR_TRAD_AGG_RO_COMP[],L$1,0),"ERROR")</f>
        <v>5213</v>
      </c>
      <c r="M24" s="218">
        <f t="shared" si="2"/>
        <v>0.65195097548774383</v>
      </c>
      <c r="N24" s="207">
        <f>IFERROR(VLOOKUP($B24,MMWR_TRAD_AGG_RO_COMP[],N$1,0),"ERROR")</f>
        <v>3433</v>
      </c>
      <c r="O24" s="208">
        <f>IFERROR(VLOOKUP($B24,MMWR_TRAD_AGG_RO_COMP[],O$1,0),"ERROR")</f>
        <v>2733</v>
      </c>
      <c r="P24" s="218">
        <f t="shared" si="3"/>
        <v>0.79609670841829305</v>
      </c>
      <c r="Q24" s="203">
        <f>IFERROR(VLOOKUP($B24,MMWR_TRAD_AGG_RO_COMP[],Q$1,0),"ERROR")</f>
        <v>0</v>
      </c>
      <c r="R24" s="203">
        <f>IFERROR(VLOOKUP($B24,MMWR_TRAD_AGG_RO_COMP[],R$1,0),"ERROR")</f>
        <v>16</v>
      </c>
      <c r="S24" s="202">
        <f>IFERROR(VLOOKUP($B24,MMWR_APP_RO[],S$1,0),"ERROR")</f>
        <v>9254</v>
      </c>
      <c r="T24" s="25"/>
    </row>
    <row r="25" spans="1:20" x14ac:dyDescent="0.2">
      <c r="A25" s="107"/>
      <c r="B25" s="101" t="s">
        <v>397</v>
      </c>
      <c r="C25" s="213">
        <f>IFERROR(VLOOKUP($B25,MMWR_TRAD_AGG_DISTRICT_COMP[],C$1,0),"ERROR")</f>
        <v>41312</v>
      </c>
      <c r="D25" s="198">
        <f>IFERROR(VLOOKUP($B25,MMWR_TRAD_AGG_DISTRICT_COMP[],D$1,0),"ERROR")</f>
        <v>352.47555189780002</v>
      </c>
      <c r="E25" s="214">
        <f>IFERROR(VLOOKUP($B25,MMWR_TRAD_AGG_DISTRICT_COMP[],E$1,0),"ERROR")</f>
        <v>57416</v>
      </c>
      <c r="F25" s="219">
        <f>IFERROR(VLOOKUP($B25,MMWR_TRAD_AGG_DISTRICT_COMP[],F$1,0),"ERROR")</f>
        <v>11586</v>
      </c>
      <c r="G25" s="215">
        <f t="shared" si="0"/>
        <v>0.20179044168872787</v>
      </c>
      <c r="H25" s="219">
        <f>IFERROR(VLOOKUP($B25,MMWR_TRAD_AGG_DISTRICT_COMP[],H$1,0),"ERROR")</f>
        <v>70178</v>
      </c>
      <c r="I25" s="219">
        <f>IFERROR(VLOOKUP($B25,MMWR_TRAD_AGG_DISTRICT_COMP[],I$1,0),"ERROR")</f>
        <v>36869</v>
      </c>
      <c r="J25" s="215">
        <f t="shared" si="1"/>
        <v>0.52536407421129128</v>
      </c>
      <c r="K25" s="213">
        <f>IFERROR(VLOOKUP($B25,MMWR_TRAD_AGG_DISTRICT_COMP[],K$1,0),"ERROR")</f>
        <v>13181</v>
      </c>
      <c r="L25" s="213">
        <f>IFERROR(VLOOKUP($B25,MMWR_TRAD_AGG_DISTRICT_COMP[],L$1,0),"ERROR")</f>
        <v>7579</v>
      </c>
      <c r="M25" s="215">
        <f t="shared" si="2"/>
        <v>0.57499430999165468</v>
      </c>
      <c r="N25" s="213">
        <f>IFERROR(VLOOKUP($B25,MMWR_TRAD_AGG_DISTRICT_COMP[],N$1,0),"ERROR")</f>
        <v>14433</v>
      </c>
      <c r="O25" s="213">
        <f>IFERROR(VLOOKUP($B25,MMWR_TRAD_AGG_DISTRICT_COMP[],O$1,0),"ERROR")</f>
        <v>9939</v>
      </c>
      <c r="P25" s="215">
        <f t="shared" si="3"/>
        <v>0.68863022240698402</v>
      </c>
      <c r="Q25" s="213">
        <f>IFERROR(VLOOKUP($B25,MMWR_TRAD_AGG_DISTRICT_COMP[],Q$1,0),"ERROR")</f>
        <v>6030</v>
      </c>
      <c r="R25" s="216">
        <f>IFERROR(VLOOKUP($B25,MMWR_TRAD_AGG_DISTRICT_COMP[],R$1,0),"ERROR")</f>
        <v>1036</v>
      </c>
      <c r="S25" s="216">
        <f>IFERROR(VLOOKUP($B25,MMWR_APP_RO[],S$1,0),"ERROR")</f>
        <v>51700</v>
      </c>
      <c r="T25" s="25"/>
    </row>
    <row r="26" spans="1:20" x14ac:dyDescent="0.2">
      <c r="A26" s="107"/>
      <c r="B26" s="108" t="s">
        <v>40</v>
      </c>
      <c r="C26" s="210">
        <f>IFERROR(VLOOKUP($B26,MMWR_TRAD_AGG_RO_COMP[],C$1,0),"ERROR")</f>
        <v>6106</v>
      </c>
      <c r="D26" s="199">
        <f>IFERROR(VLOOKUP($B26,MMWR_TRAD_AGG_RO_COMP[],D$1,0),"ERROR")</f>
        <v>513.6734359646</v>
      </c>
      <c r="E26" s="196">
        <f>IFERROR(VLOOKUP($B26,MMWR_TRAD_AGG_RO_COMP[],E$1,0),"ERROR")</f>
        <v>6850</v>
      </c>
      <c r="F26" s="192">
        <f>IFERROR(VLOOKUP($B26,MMWR_TRAD_AGG_RO_COMP[],F$1,0),"ERROR")</f>
        <v>1762</v>
      </c>
      <c r="G26" s="217">
        <f t="shared" si="0"/>
        <v>0.25722627737226278</v>
      </c>
      <c r="H26" s="191">
        <f>IFERROR(VLOOKUP($B26,MMWR_TRAD_AGG_RO_COMP[],H$1,0),"ERROR")</f>
        <v>7395</v>
      </c>
      <c r="I26" s="192">
        <f>IFERROR(VLOOKUP($B26,MMWR_TRAD_AGG_RO_COMP[],I$1,0),"ERROR")</f>
        <v>5738</v>
      </c>
      <c r="J26" s="217">
        <f t="shared" si="1"/>
        <v>0.77592968221771463</v>
      </c>
      <c r="K26" s="205">
        <f>IFERROR(VLOOKUP($B26,MMWR_TRAD_AGG_RO_COMP[],K$1,0),"ERROR")</f>
        <v>1483</v>
      </c>
      <c r="L26" s="206">
        <f>IFERROR(VLOOKUP($B26,MMWR_TRAD_AGG_RO_COMP[],L$1,0),"ERROR")</f>
        <v>1228</v>
      </c>
      <c r="M26" s="217">
        <f t="shared" si="2"/>
        <v>0.82805124747134184</v>
      </c>
      <c r="N26" s="205">
        <f>IFERROR(VLOOKUP($B26,MMWR_TRAD_AGG_RO_COMP[],N$1,0),"ERROR")</f>
        <v>987</v>
      </c>
      <c r="O26" s="206">
        <f>IFERROR(VLOOKUP($B26,MMWR_TRAD_AGG_RO_COMP[],O$1,0),"ERROR")</f>
        <v>635</v>
      </c>
      <c r="P26" s="217">
        <f t="shared" si="3"/>
        <v>0.64336372847011147</v>
      </c>
      <c r="Q26" s="202">
        <f>IFERROR(VLOOKUP($B26,MMWR_TRAD_AGG_RO_COMP[],Q$1,0),"ERROR")</f>
        <v>0</v>
      </c>
      <c r="R26" s="202">
        <f>IFERROR(VLOOKUP($B26,MMWR_TRAD_AGG_RO_COMP[],R$1,0),"ERROR")</f>
        <v>208</v>
      </c>
      <c r="S26" s="202">
        <f>IFERROR(VLOOKUP($B26,MMWR_APP_RO[],S$1,0),"ERROR")</f>
        <v>8071</v>
      </c>
      <c r="T26" s="25"/>
    </row>
    <row r="27" spans="1:20" x14ac:dyDescent="0.2">
      <c r="A27" s="107"/>
      <c r="B27" s="108" t="s">
        <v>41</v>
      </c>
      <c r="C27" s="210">
        <f>IFERROR(VLOOKUP($B27,MMWR_TRAD_AGG_RO_COMP[],C$1,0),"ERROR")</f>
        <v>6235</v>
      </c>
      <c r="D27" s="199">
        <f>IFERROR(VLOOKUP($B27,MMWR_TRAD_AGG_RO_COMP[],D$1,0),"ERROR")</f>
        <v>452.26543704890003</v>
      </c>
      <c r="E27" s="196">
        <f>IFERROR(VLOOKUP($B27,MMWR_TRAD_AGG_RO_COMP[],E$1,0),"ERROR")</f>
        <v>8293</v>
      </c>
      <c r="F27" s="192">
        <f>IFERROR(VLOOKUP($B27,MMWR_TRAD_AGG_RO_COMP[],F$1,0),"ERROR")</f>
        <v>2100</v>
      </c>
      <c r="G27" s="217">
        <f t="shared" si="0"/>
        <v>0.25322561196189558</v>
      </c>
      <c r="H27" s="191">
        <f>IFERROR(VLOOKUP($B27,MMWR_TRAD_AGG_RO_COMP[],H$1,0),"ERROR")</f>
        <v>8699</v>
      </c>
      <c r="I27" s="192">
        <f>IFERROR(VLOOKUP($B27,MMWR_TRAD_AGG_RO_COMP[],I$1,0),"ERROR")</f>
        <v>5847</v>
      </c>
      <c r="J27" s="217">
        <f t="shared" si="1"/>
        <v>0.672146223703874</v>
      </c>
      <c r="K27" s="205">
        <f>IFERROR(VLOOKUP($B27,MMWR_TRAD_AGG_RO_COMP[],K$1,0),"ERROR")</f>
        <v>1585</v>
      </c>
      <c r="L27" s="206">
        <f>IFERROR(VLOOKUP($B27,MMWR_TRAD_AGG_RO_COMP[],L$1,0),"ERROR")</f>
        <v>825</v>
      </c>
      <c r="M27" s="217">
        <f t="shared" si="2"/>
        <v>0.52050473186119872</v>
      </c>
      <c r="N27" s="205">
        <f>IFERROR(VLOOKUP($B27,MMWR_TRAD_AGG_RO_COMP[],N$1,0),"ERROR")</f>
        <v>3264</v>
      </c>
      <c r="O27" s="206">
        <f>IFERROR(VLOOKUP($B27,MMWR_TRAD_AGG_RO_COMP[],O$1,0),"ERROR")</f>
        <v>1527</v>
      </c>
      <c r="P27" s="217">
        <f t="shared" si="3"/>
        <v>0.46783088235294118</v>
      </c>
      <c r="Q27" s="202">
        <f>IFERROR(VLOOKUP($B27,MMWR_TRAD_AGG_RO_COMP[],Q$1,0),"ERROR")</f>
        <v>0</v>
      </c>
      <c r="R27" s="202">
        <f>IFERROR(VLOOKUP($B27,MMWR_TRAD_AGG_RO_COMP[],R$1,0),"ERROR")</f>
        <v>330</v>
      </c>
      <c r="S27" s="202">
        <f>IFERROR(VLOOKUP($B27,MMWR_APP_RO[],S$1,0),"ERROR")</f>
        <v>13797</v>
      </c>
      <c r="T27" s="25"/>
    </row>
    <row r="28" spans="1:20" x14ac:dyDescent="0.2">
      <c r="A28" s="107"/>
      <c r="B28" s="108" t="s">
        <v>44</v>
      </c>
      <c r="C28" s="210">
        <f>IFERROR(VLOOKUP($B28,MMWR_TRAD_AGG_RO_COMP[],C$1,0),"ERROR")</f>
        <v>1124</v>
      </c>
      <c r="D28" s="199">
        <f>IFERROR(VLOOKUP($B28,MMWR_TRAD_AGG_RO_COMP[],D$1,0),"ERROR")</f>
        <v>131.9368327402</v>
      </c>
      <c r="E28" s="196">
        <f>IFERROR(VLOOKUP($B28,MMWR_TRAD_AGG_RO_COMP[],E$1,0),"ERROR")</f>
        <v>2167</v>
      </c>
      <c r="F28" s="192">
        <f>IFERROR(VLOOKUP($B28,MMWR_TRAD_AGG_RO_COMP[],F$1,0),"ERROR")</f>
        <v>354</v>
      </c>
      <c r="G28" s="217">
        <f t="shared" si="0"/>
        <v>0.16335948315643747</v>
      </c>
      <c r="H28" s="191">
        <f>IFERROR(VLOOKUP($B28,MMWR_TRAD_AGG_RO_COMP[],H$1,0),"ERROR")</f>
        <v>1842</v>
      </c>
      <c r="I28" s="192">
        <f>IFERROR(VLOOKUP($B28,MMWR_TRAD_AGG_RO_COMP[],I$1,0),"ERROR")</f>
        <v>780</v>
      </c>
      <c r="J28" s="217">
        <f t="shared" si="1"/>
        <v>0.42345276872964172</v>
      </c>
      <c r="K28" s="205">
        <f>IFERROR(VLOOKUP($B28,MMWR_TRAD_AGG_RO_COMP[],K$1,0),"ERROR")</f>
        <v>360</v>
      </c>
      <c r="L28" s="206">
        <f>IFERROR(VLOOKUP($B28,MMWR_TRAD_AGG_RO_COMP[],L$1,0),"ERROR")</f>
        <v>121</v>
      </c>
      <c r="M28" s="217">
        <f t="shared" si="2"/>
        <v>0.33611111111111114</v>
      </c>
      <c r="N28" s="205">
        <f>IFERROR(VLOOKUP($B28,MMWR_TRAD_AGG_RO_COMP[],N$1,0),"ERROR")</f>
        <v>258</v>
      </c>
      <c r="O28" s="206">
        <f>IFERROR(VLOOKUP($B28,MMWR_TRAD_AGG_RO_COMP[],O$1,0),"ERROR")</f>
        <v>136</v>
      </c>
      <c r="P28" s="217">
        <f t="shared" si="3"/>
        <v>0.52713178294573648</v>
      </c>
      <c r="Q28" s="202">
        <f>IFERROR(VLOOKUP($B28,MMWR_TRAD_AGG_RO_COMP[],Q$1,0),"ERROR")</f>
        <v>0</v>
      </c>
      <c r="R28" s="202">
        <f>IFERROR(VLOOKUP($B28,MMWR_TRAD_AGG_RO_COMP[],R$1,0),"ERROR")</f>
        <v>6</v>
      </c>
      <c r="S28" s="202">
        <f>IFERROR(VLOOKUP($B28,MMWR_APP_RO[],S$1,0),"ERROR")</f>
        <v>1098</v>
      </c>
      <c r="T28" s="25"/>
    </row>
    <row r="29" spans="1:20" x14ac:dyDescent="0.2">
      <c r="A29" s="107"/>
      <c r="B29" s="108" t="s">
        <v>45</v>
      </c>
      <c r="C29" s="210">
        <f>IFERROR(VLOOKUP($B29,MMWR_TRAD_AGG_RO_COMP[],C$1,0),"ERROR")</f>
        <v>3541</v>
      </c>
      <c r="D29" s="199">
        <f>IFERROR(VLOOKUP($B29,MMWR_TRAD_AGG_RO_COMP[],D$1,0),"ERROR")</f>
        <v>266.1889296809</v>
      </c>
      <c r="E29" s="196">
        <f>IFERROR(VLOOKUP($B29,MMWR_TRAD_AGG_RO_COMP[],E$1,0),"ERROR")</f>
        <v>7087</v>
      </c>
      <c r="F29" s="192">
        <f>IFERROR(VLOOKUP($B29,MMWR_TRAD_AGG_RO_COMP[],F$1,0),"ERROR")</f>
        <v>1713</v>
      </c>
      <c r="G29" s="217">
        <f t="shared" si="0"/>
        <v>0.24171017355721744</v>
      </c>
      <c r="H29" s="191">
        <f>IFERROR(VLOOKUP($B29,MMWR_TRAD_AGG_RO_COMP[],H$1,0),"ERROR")</f>
        <v>7469</v>
      </c>
      <c r="I29" s="192">
        <f>IFERROR(VLOOKUP($B29,MMWR_TRAD_AGG_RO_COMP[],I$1,0),"ERROR")</f>
        <v>3718</v>
      </c>
      <c r="J29" s="217">
        <f t="shared" si="1"/>
        <v>0.49779086892488955</v>
      </c>
      <c r="K29" s="205">
        <f>IFERROR(VLOOKUP($B29,MMWR_TRAD_AGG_RO_COMP[],K$1,0),"ERROR")</f>
        <v>1487</v>
      </c>
      <c r="L29" s="206">
        <f>IFERROR(VLOOKUP($B29,MMWR_TRAD_AGG_RO_COMP[],L$1,0),"ERROR")</f>
        <v>806</v>
      </c>
      <c r="M29" s="217">
        <f t="shared" si="2"/>
        <v>0.54203093476798925</v>
      </c>
      <c r="N29" s="205">
        <f>IFERROR(VLOOKUP($B29,MMWR_TRAD_AGG_RO_COMP[],N$1,0),"ERROR")</f>
        <v>624</v>
      </c>
      <c r="O29" s="206">
        <f>IFERROR(VLOOKUP($B29,MMWR_TRAD_AGG_RO_COMP[],O$1,0),"ERROR")</f>
        <v>363</v>
      </c>
      <c r="P29" s="217">
        <f t="shared" si="3"/>
        <v>0.58173076923076927</v>
      </c>
      <c r="Q29" s="202">
        <f>IFERROR(VLOOKUP($B29,MMWR_TRAD_AGG_RO_COMP[],Q$1,0),"ERROR")</f>
        <v>2</v>
      </c>
      <c r="R29" s="202">
        <f>IFERROR(VLOOKUP($B29,MMWR_TRAD_AGG_RO_COMP[],R$1,0),"ERROR")</f>
        <v>200</v>
      </c>
      <c r="S29" s="202">
        <f>IFERROR(VLOOKUP($B29,MMWR_APP_RO[],S$1,0),"ERROR")</f>
        <v>5700</v>
      </c>
      <c r="T29" s="25"/>
    </row>
    <row r="30" spans="1:20" x14ac:dyDescent="0.2">
      <c r="A30" s="107"/>
      <c r="B30" s="108" t="s">
        <v>46</v>
      </c>
      <c r="C30" s="210">
        <f>IFERROR(VLOOKUP($B30,MMWR_TRAD_AGG_RO_COMP[],C$1,0),"ERROR")</f>
        <v>80</v>
      </c>
      <c r="D30" s="199">
        <f>IFERROR(VLOOKUP($B30,MMWR_TRAD_AGG_RO_COMP[],D$1,0),"ERROR")</f>
        <v>93.3125</v>
      </c>
      <c r="E30" s="196">
        <f>IFERROR(VLOOKUP($B30,MMWR_TRAD_AGG_RO_COMP[],E$1,0),"ERROR")</f>
        <v>815</v>
      </c>
      <c r="F30" s="192">
        <f>IFERROR(VLOOKUP($B30,MMWR_TRAD_AGG_RO_COMP[],F$1,0),"ERROR")</f>
        <v>152</v>
      </c>
      <c r="G30" s="217">
        <f t="shared" si="0"/>
        <v>0.18650306748466258</v>
      </c>
      <c r="H30" s="191">
        <f>IFERROR(VLOOKUP($B30,MMWR_TRAD_AGG_RO_COMP[],H$1,0),"ERROR")</f>
        <v>229</v>
      </c>
      <c r="I30" s="192">
        <f>IFERROR(VLOOKUP($B30,MMWR_TRAD_AGG_RO_COMP[],I$1,0),"ERROR")</f>
        <v>22</v>
      </c>
      <c r="J30" s="217">
        <f t="shared" si="1"/>
        <v>9.606986899563319E-2</v>
      </c>
      <c r="K30" s="205">
        <f>IFERROR(VLOOKUP($B30,MMWR_TRAD_AGG_RO_COMP[],K$1,0),"ERROR")</f>
        <v>69</v>
      </c>
      <c r="L30" s="206">
        <f>IFERROR(VLOOKUP($B30,MMWR_TRAD_AGG_RO_COMP[],L$1,0),"ERROR")</f>
        <v>17</v>
      </c>
      <c r="M30" s="217">
        <f t="shared" si="2"/>
        <v>0.24637681159420291</v>
      </c>
      <c r="N30" s="205">
        <f>IFERROR(VLOOKUP($B30,MMWR_TRAD_AGG_RO_COMP[],N$1,0),"ERROR")</f>
        <v>64</v>
      </c>
      <c r="O30" s="206">
        <f>IFERROR(VLOOKUP($B30,MMWR_TRAD_AGG_RO_COMP[],O$1,0),"ERROR")</f>
        <v>29</v>
      </c>
      <c r="P30" s="217">
        <f t="shared" si="3"/>
        <v>0.453125</v>
      </c>
      <c r="Q30" s="202">
        <f>IFERROR(VLOOKUP($B30,MMWR_TRAD_AGG_RO_COMP[],Q$1,0),"ERROR")</f>
        <v>0</v>
      </c>
      <c r="R30" s="202">
        <f>IFERROR(VLOOKUP($B30,MMWR_TRAD_AGG_RO_COMP[],R$1,0),"ERROR")</f>
        <v>0</v>
      </c>
      <c r="S30" s="202">
        <f>IFERROR(VLOOKUP($B30,MMWR_APP_RO[],S$1,0),"ERROR")</f>
        <v>568</v>
      </c>
      <c r="T30" s="25"/>
    </row>
    <row r="31" spans="1:20" x14ac:dyDescent="0.2">
      <c r="A31" s="107"/>
      <c r="B31" s="108" t="s">
        <v>51</v>
      </c>
      <c r="C31" s="210">
        <f>IFERROR(VLOOKUP($B31,MMWR_TRAD_AGG_RO_COMP[],C$1,0),"ERROR")</f>
        <v>8434</v>
      </c>
      <c r="D31" s="199">
        <f>IFERROR(VLOOKUP($B31,MMWR_TRAD_AGG_RO_COMP[],D$1,0),"ERROR")</f>
        <v>521.52098648330002</v>
      </c>
      <c r="E31" s="196">
        <f>IFERROR(VLOOKUP($B31,MMWR_TRAD_AGG_RO_COMP[],E$1,0),"ERROR")</f>
        <v>4831</v>
      </c>
      <c r="F31" s="192">
        <f>IFERROR(VLOOKUP($B31,MMWR_TRAD_AGG_RO_COMP[],F$1,0),"ERROR")</f>
        <v>872</v>
      </c>
      <c r="G31" s="217">
        <f t="shared" si="0"/>
        <v>0.18050093148416477</v>
      </c>
      <c r="H31" s="191">
        <f>IFERROR(VLOOKUP($B31,MMWR_TRAD_AGG_RO_COMP[],H$1,0),"ERROR")</f>
        <v>13271</v>
      </c>
      <c r="I31" s="192">
        <f>IFERROR(VLOOKUP($B31,MMWR_TRAD_AGG_RO_COMP[],I$1,0),"ERROR")</f>
        <v>8431</v>
      </c>
      <c r="J31" s="217">
        <f t="shared" si="1"/>
        <v>0.63529500414437501</v>
      </c>
      <c r="K31" s="205">
        <f>IFERROR(VLOOKUP($B31,MMWR_TRAD_AGG_RO_COMP[],K$1,0),"ERROR")</f>
        <v>1485</v>
      </c>
      <c r="L31" s="206">
        <f>IFERROR(VLOOKUP($B31,MMWR_TRAD_AGG_RO_COMP[],L$1,0),"ERROR")</f>
        <v>1036</v>
      </c>
      <c r="M31" s="217">
        <f t="shared" si="2"/>
        <v>0.69764309764309762</v>
      </c>
      <c r="N31" s="205">
        <f>IFERROR(VLOOKUP($B31,MMWR_TRAD_AGG_RO_COMP[],N$1,0),"ERROR")</f>
        <v>1598</v>
      </c>
      <c r="O31" s="206">
        <f>IFERROR(VLOOKUP($B31,MMWR_TRAD_AGG_RO_COMP[],O$1,0),"ERROR")</f>
        <v>1337</v>
      </c>
      <c r="P31" s="217">
        <f t="shared" si="3"/>
        <v>0.83667083854818525</v>
      </c>
      <c r="Q31" s="202">
        <f>IFERROR(VLOOKUP($B31,MMWR_TRAD_AGG_RO_COMP[],Q$1,0),"ERROR")</f>
        <v>1</v>
      </c>
      <c r="R31" s="202">
        <f>IFERROR(VLOOKUP($B31,MMWR_TRAD_AGG_RO_COMP[],R$1,0),"ERROR")</f>
        <v>196</v>
      </c>
      <c r="S31" s="202">
        <f>IFERROR(VLOOKUP($B31,MMWR_APP_RO[],S$1,0),"ERROR")</f>
        <v>8306</v>
      </c>
      <c r="T31" s="25"/>
    </row>
    <row r="32" spans="1:20" x14ac:dyDescent="0.2">
      <c r="A32" s="107"/>
      <c r="B32" s="108" t="s">
        <v>53</v>
      </c>
      <c r="C32" s="210">
        <f>IFERROR(VLOOKUP($B32,MMWR_TRAD_AGG_RO_COMP[],C$1,0),"ERROR")</f>
        <v>2485</v>
      </c>
      <c r="D32" s="199">
        <f>IFERROR(VLOOKUP($B32,MMWR_TRAD_AGG_RO_COMP[],D$1,0),"ERROR")</f>
        <v>149.8929577465</v>
      </c>
      <c r="E32" s="196">
        <f>IFERROR(VLOOKUP($B32,MMWR_TRAD_AGG_RO_COMP[],E$1,0),"ERROR")</f>
        <v>2108</v>
      </c>
      <c r="F32" s="192">
        <f>IFERROR(VLOOKUP($B32,MMWR_TRAD_AGG_RO_COMP[],F$1,0),"ERROR")</f>
        <v>232</v>
      </c>
      <c r="G32" s="217">
        <f t="shared" si="0"/>
        <v>0.11005692599620494</v>
      </c>
      <c r="H32" s="191">
        <f>IFERROR(VLOOKUP($B32,MMWR_TRAD_AGG_RO_COMP[],H$1,0),"ERROR")</f>
        <v>4073</v>
      </c>
      <c r="I32" s="192">
        <f>IFERROR(VLOOKUP($B32,MMWR_TRAD_AGG_RO_COMP[],I$1,0),"ERROR")</f>
        <v>1420</v>
      </c>
      <c r="J32" s="217">
        <f t="shared" si="1"/>
        <v>0.34863736803339063</v>
      </c>
      <c r="K32" s="205">
        <f>IFERROR(VLOOKUP($B32,MMWR_TRAD_AGG_RO_COMP[],K$1,0),"ERROR")</f>
        <v>1020</v>
      </c>
      <c r="L32" s="206">
        <f>IFERROR(VLOOKUP($B32,MMWR_TRAD_AGG_RO_COMP[],L$1,0),"ERROR")</f>
        <v>525</v>
      </c>
      <c r="M32" s="217">
        <f t="shared" si="2"/>
        <v>0.51470588235294112</v>
      </c>
      <c r="N32" s="205">
        <f>IFERROR(VLOOKUP($B32,MMWR_TRAD_AGG_RO_COMP[],N$1,0),"ERROR")</f>
        <v>399</v>
      </c>
      <c r="O32" s="206">
        <f>IFERROR(VLOOKUP($B32,MMWR_TRAD_AGG_RO_COMP[],O$1,0),"ERROR")</f>
        <v>193</v>
      </c>
      <c r="P32" s="217">
        <f t="shared" si="3"/>
        <v>0.48370927318295737</v>
      </c>
      <c r="Q32" s="202">
        <f>IFERROR(VLOOKUP($B32,MMWR_TRAD_AGG_RO_COMP[],Q$1,0),"ERROR")</f>
        <v>1</v>
      </c>
      <c r="R32" s="202">
        <f>IFERROR(VLOOKUP($B32,MMWR_TRAD_AGG_RO_COMP[],R$1,0),"ERROR")</f>
        <v>14</v>
      </c>
      <c r="S32" s="202">
        <f>IFERROR(VLOOKUP($B32,MMWR_APP_RO[],S$1,0),"ERROR")</f>
        <v>1152</v>
      </c>
      <c r="T32" s="25"/>
    </row>
    <row r="33" spans="1:20" x14ac:dyDescent="0.2">
      <c r="A33" s="107"/>
      <c r="B33" s="108" t="s">
        <v>59</v>
      </c>
      <c r="C33" s="210">
        <f>IFERROR(VLOOKUP($B33,MMWR_TRAD_AGG_RO_COMP[],C$1,0),"ERROR")</f>
        <v>4315</v>
      </c>
      <c r="D33" s="199">
        <f>IFERROR(VLOOKUP($B33,MMWR_TRAD_AGG_RO_COMP[],D$1,0),"ERROR")</f>
        <v>192.53951332560001</v>
      </c>
      <c r="E33" s="196">
        <f>IFERROR(VLOOKUP($B33,MMWR_TRAD_AGG_RO_COMP[],E$1,0),"ERROR")</f>
        <v>6458</v>
      </c>
      <c r="F33" s="192">
        <f>IFERROR(VLOOKUP($B33,MMWR_TRAD_AGG_RO_COMP[],F$1,0),"ERROR")</f>
        <v>1099</v>
      </c>
      <c r="G33" s="217">
        <f t="shared" si="0"/>
        <v>0.17017652524001239</v>
      </c>
      <c r="H33" s="191">
        <f>IFERROR(VLOOKUP($B33,MMWR_TRAD_AGG_RO_COMP[],H$1,0),"ERROR")</f>
        <v>5618</v>
      </c>
      <c r="I33" s="192">
        <f>IFERROR(VLOOKUP($B33,MMWR_TRAD_AGG_RO_COMP[],I$1,0),"ERROR")</f>
        <v>2735</v>
      </c>
      <c r="J33" s="217">
        <f t="shared" si="1"/>
        <v>0.48682805268778923</v>
      </c>
      <c r="K33" s="205">
        <f>IFERROR(VLOOKUP($B33,MMWR_TRAD_AGG_RO_COMP[],K$1,0),"ERROR")</f>
        <v>682</v>
      </c>
      <c r="L33" s="206">
        <f>IFERROR(VLOOKUP($B33,MMWR_TRAD_AGG_RO_COMP[],L$1,0),"ERROR")</f>
        <v>328</v>
      </c>
      <c r="M33" s="217">
        <f t="shared" si="2"/>
        <v>0.48093841642228741</v>
      </c>
      <c r="N33" s="205">
        <f>IFERROR(VLOOKUP($B33,MMWR_TRAD_AGG_RO_COMP[],N$1,0),"ERROR")</f>
        <v>509</v>
      </c>
      <c r="O33" s="206">
        <f>IFERROR(VLOOKUP($B33,MMWR_TRAD_AGG_RO_COMP[],O$1,0),"ERROR")</f>
        <v>236</v>
      </c>
      <c r="P33" s="217">
        <f t="shared" si="3"/>
        <v>0.46365422396856582</v>
      </c>
      <c r="Q33" s="202">
        <f>IFERROR(VLOOKUP($B33,MMWR_TRAD_AGG_RO_COMP[],Q$1,0),"ERROR")</f>
        <v>5999</v>
      </c>
      <c r="R33" s="202">
        <f>IFERROR(VLOOKUP($B33,MMWR_TRAD_AGG_RO_COMP[],R$1,0),"ERROR")</f>
        <v>0</v>
      </c>
      <c r="S33" s="202">
        <f>IFERROR(VLOOKUP($B33,MMWR_APP_RO[],S$1,0),"ERROR")</f>
        <v>3366</v>
      </c>
      <c r="T33" s="25"/>
    </row>
    <row r="34" spans="1:20" x14ac:dyDescent="0.2">
      <c r="A34" s="107"/>
      <c r="B34" s="108" t="s">
        <v>77</v>
      </c>
      <c r="C34" s="210">
        <f>IFERROR(VLOOKUP($B34,MMWR_TRAD_AGG_RO_COMP[],C$1,0),"ERROR")</f>
        <v>239</v>
      </c>
      <c r="D34" s="199">
        <f>IFERROR(VLOOKUP($B34,MMWR_TRAD_AGG_RO_COMP[],D$1,0),"ERROR")</f>
        <v>101.0209205021</v>
      </c>
      <c r="E34" s="196">
        <f>IFERROR(VLOOKUP($B34,MMWR_TRAD_AGG_RO_COMP[],E$1,0),"ERROR")</f>
        <v>759</v>
      </c>
      <c r="F34" s="192">
        <f>IFERROR(VLOOKUP($B34,MMWR_TRAD_AGG_RO_COMP[],F$1,0),"ERROR")</f>
        <v>159</v>
      </c>
      <c r="G34" s="217">
        <f t="shared" si="0"/>
        <v>0.20948616600790515</v>
      </c>
      <c r="H34" s="191">
        <f>IFERROR(VLOOKUP($B34,MMWR_TRAD_AGG_RO_COMP[],H$1,0),"ERROR")</f>
        <v>494</v>
      </c>
      <c r="I34" s="192">
        <f>IFERROR(VLOOKUP($B34,MMWR_TRAD_AGG_RO_COMP[],I$1,0),"ERROR")</f>
        <v>109</v>
      </c>
      <c r="J34" s="217">
        <f t="shared" si="1"/>
        <v>0.22064777327935223</v>
      </c>
      <c r="K34" s="205">
        <f>IFERROR(VLOOKUP($B34,MMWR_TRAD_AGG_RO_COMP[],K$1,0),"ERROR")</f>
        <v>400</v>
      </c>
      <c r="L34" s="206">
        <f>IFERROR(VLOOKUP($B34,MMWR_TRAD_AGG_RO_COMP[],L$1,0),"ERROR")</f>
        <v>177</v>
      </c>
      <c r="M34" s="217">
        <f t="shared" si="2"/>
        <v>0.4425</v>
      </c>
      <c r="N34" s="205">
        <f>IFERROR(VLOOKUP($B34,MMWR_TRAD_AGG_RO_COMP[],N$1,0),"ERROR")</f>
        <v>29</v>
      </c>
      <c r="O34" s="206">
        <f>IFERROR(VLOOKUP($B34,MMWR_TRAD_AGG_RO_COMP[],O$1,0),"ERROR")</f>
        <v>13</v>
      </c>
      <c r="P34" s="217">
        <f t="shared" si="3"/>
        <v>0.44827586206896552</v>
      </c>
      <c r="Q34" s="202">
        <f>IFERROR(VLOOKUP($B34,MMWR_TRAD_AGG_RO_COMP[],Q$1,0),"ERROR")</f>
        <v>0</v>
      </c>
      <c r="R34" s="202">
        <f>IFERROR(VLOOKUP($B34,MMWR_TRAD_AGG_RO_COMP[],R$1,0),"ERROR")</f>
        <v>0</v>
      </c>
      <c r="S34" s="202">
        <f>IFERROR(VLOOKUP($B34,MMWR_APP_RO[],S$1,0),"ERROR")</f>
        <v>227</v>
      </c>
      <c r="T34" s="25"/>
    </row>
    <row r="35" spans="1:20" x14ac:dyDescent="0.2">
      <c r="A35" s="107"/>
      <c r="B35" s="108" t="s">
        <v>78</v>
      </c>
      <c r="C35" s="210">
        <f>IFERROR(VLOOKUP($B35,MMWR_TRAD_AGG_RO_COMP[],C$1,0),"ERROR")</f>
        <v>4856</v>
      </c>
      <c r="D35" s="199">
        <f>IFERROR(VLOOKUP($B35,MMWR_TRAD_AGG_RO_COMP[],D$1,0),"ERROR")</f>
        <v>261.56425041189999</v>
      </c>
      <c r="E35" s="196">
        <f>IFERROR(VLOOKUP($B35,MMWR_TRAD_AGG_RO_COMP[],E$1,0),"ERROR")</f>
        <v>6020</v>
      </c>
      <c r="F35" s="192">
        <f>IFERROR(VLOOKUP($B35,MMWR_TRAD_AGG_RO_COMP[],F$1,0),"ERROR")</f>
        <v>895</v>
      </c>
      <c r="G35" s="217">
        <f t="shared" si="0"/>
        <v>0.14867109634551495</v>
      </c>
      <c r="H35" s="191">
        <f>IFERROR(VLOOKUP($B35,MMWR_TRAD_AGG_RO_COMP[],H$1,0),"ERROR")</f>
        <v>6881</v>
      </c>
      <c r="I35" s="192">
        <f>IFERROR(VLOOKUP($B35,MMWR_TRAD_AGG_RO_COMP[],I$1,0),"ERROR")</f>
        <v>4470</v>
      </c>
      <c r="J35" s="217">
        <f t="shared" si="1"/>
        <v>0.64961488155791314</v>
      </c>
      <c r="K35" s="205">
        <f>IFERROR(VLOOKUP($B35,MMWR_TRAD_AGG_RO_COMP[],K$1,0),"ERROR")</f>
        <v>2401</v>
      </c>
      <c r="L35" s="206">
        <f>IFERROR(VLOOKUP($B35,MMWR_TRAD_AGG_RO_COMP[],L$1,0),"ERROR")</f>
        <v>1941</v>
      </c>
      <c r="M35" s="217">
        <f t="shared" si="2"/>
        <v>0.80841316118284046</v>
      </c>
      <c r="N35" s="205">
        <f>IFERROR(VLOOKUP($B35,MMWR_TRAD_AGG_RO_COMP[],N$1,0),"ERROR")</f>
        <v>5451</v>
      </c>
      <c r="O35" s="206">
        <f>IFERROR(VLOOKUP($B35,MMWR_TRAD_AGG_RO_COMP[],O$1,0),"ERROR")</f>
        <v>4730</v>
      </c>
      <c r="P35" s="217">
        <f t="shared" si="3"/>
        <v>0.86773069161621719</v>
      </c>
      <c r="Q35" s="202">
        <f>IFERROR(VLOOKUP($B35,MMWR_TRAD_AGG_RO_COMP[],Q$1,0),"ERROR")</f>
        <v>0</v>
      </c>
      <c r="R35" s="202">
        <f>IFERROR(VLOOKUP($B35,MMWR_TRAD_AGG_RO_COMP[],R$1,0),"ERROR")</f>
        <v>73</v>
      </c>
      <c r="S35" s="202">
        <f>IFERROR(VLOOKUP($B35,MMWR_APP_RO[],S$1,0),"ERROR")</f>
        <v>6419</v>
      </c>
      <c r="T35" s="25"/>
    </row>
    <row r="36" spans="1:20" x14ac:dyDescent="0.2">
      <c r="A36" s="28"/>
      <c r="B36" s="108" t="s">
        <v>79</v>
      </c>
      <c r="C36" s="220">
        <f>IFERROR(VLOOKUP($B36,MMWR_TRAD_AGG_RO_COMP[],C$1,0),"ERROR")</f>
        <v>2305</v>
      </c>
      <c r="D36" s="221">
        <f>IFERROR(VLOOKUP($B36,MMWR_TRAD_AGG_RO_COMP[],D$1,0),"ERROR")</f>
        <v>145.86290672449999</v>
      </c>
      <c r="E36" s="222">
        <f>IFERROR(VLOOKUP($B36,MMWR_TRAD_AGG_RO_COMP[],E$1,0),"ERROR")</f>
        <v>9182</v>
      </c>
      <c r="F36" s="223">
        <f>IFERROR(VLOOKUP($B36,MMWR_TRAD_AGG_RO_COMP[],F$1,0),"ERROR")</f>
        <v>1718</v>
      </c>
      <c r="G36" s="224">
        <f t="shared" si="0"/>
        <v>0.18710520583750817</v>
      </c>
      <c r="H36" s="225">
        <f>IFERROR(VLOOKUP($B36,MMWR_TRAD_AGG_RO_COMP[],H$1,0),"ERROR")</f>
        <v>11821</v>
      </c>
      <c r="I36" s="223">
        <f>IFERROR(VLOOKUP($B36,MMWR_TRAD_AGG_RO_COMP[],I$1,0),"ERROR")</f>
        <v>2490</v>
      </c>
      <c r="J36" s="224">
        <f t="shared" si="1"/>
        <v>0.21064207765840454</v>
      </c>
      <c r="K36" s="226">
        <f>IFERROR(VLOOKUP($B36,MMWR_TRAD_AGG_RO_COMP[],K$1,0),"ERROR")</f>
        <v>1540</v>
      </c>
      <c r="L36" s="227">
        <f>IFERROR(VLOOKUP($B36,MMWR_TRAD_AGG_RO_COMP[],L$1,0),"ERROR")</f>
        <v>344</v>
      </c>
      <c r="M36" s="224">
        <f t="shared" si="2"/>
        <v>0.22337662337662337</v>
      </c>
      <c r="N36" s="226">
        <f>IFERROR(VLOOKUP($B36,MMWR_TRAD_AGG_RO_COMP[],N$1,0),"ERROR")</f>
        <v>1051</v>
      </c>
      <c r="O36" s="227">
        <f>IFERROR(VLOOKUP($B36,MMWR_TRAD_AGG_RO_COMP[],O$1,0),"ERROR")</f>
        <v>651</v>
      </c>
      <c r="P36" s="224">
        <f t="shared" si="3"/>
        <v>0.6194100856327307</v>
      </c>
      <c r="Q36" s="228">
        <f>IFERROR(VLOOKUP($B36,MMWR_TRAD_AGG_RO_COMP[],Q$1,0),"ERROR")</f>
        <v>27</v>
      </c>
      <c r="R36" s="228">
        <f>IFERROR(VLOOKUP($B36,MMWR_TRAD_AGG_RO_COMP[],R$1,0),"ERROR")</f>
        <v>0</v>
      </c>
      <c r="S36" s="202">
        <f>IFERROR(VLOOKUP($B36,MMWR_APP_RO[],S$1,0),"ERROR")</f>
        <v>1770</v>
      </c>
      <c r="T36" s="28"/>
    </row>
    <row r="37" spans="1:20" x14ac:dyDescent="0.2">
      <c r="A37" s="28"/>
      <c r="B37" s="116" t="s">
        <v>84</v>
      </c>
      <c r="C37" s="229">
        <f>IFERROR(VLOOKUP($B37,MMWR_TRAD_AGG_RO_COMP[],C$1,0),"ERROR")</f>
        <v>1592</v>
      </c>
      <c r="D37" s="230">
        <f>IFERROR(VLOOKUP($B37,MMWR_TRAD_AGG_RO_COMP[],D$1,0),"ERROR")</f>
        <v>172.39572864319999</v>
      </c>
      <c r="E37" s="231">
        <f>IFERROR(VLOOKUP($B37,MMWR_TRAD_AGG_RO_COMP[],E$1,0),"ERROR")</f>
        <v>2846</v>
      </c>
      <c r="F37" s="232">
        <f>IFERROR(VLOOKUP($B37,MMWR_TRAD_AGG_RO_COMP[],F$1,0),"ERROR")</f>
        <v>530</v>
      </c>
      <c r="G37" s="233">
        <f t="shared" si="0"/>
        <v>0.18622628250175685</v>
      </c>
      <c r="H37" s="234">
        <f>IFERROR(VLOOKUP($B37,MMWR_TRAD_AGG_RO_COMP[],H$1,0),"ERROR")</f>
        <v>2386</v>
      </c>
      <c r="I37" s="232">
        <f>IFERROR(VLOOKUP($B37,MMWR_TRAD_AGG_RO_COMP[],I$1,0),"ERROR")</f>
        <v>1109</v>
      </c>
      <c r="J37" s="233">
        <f t="shared" si="1"/>
        <v>0.46479463537300925</v>
      </c>
      <c r="K37" s="235">
        <f>IFERROR(VLOOKUP($B37,MMWR_TRAD_AGG_RO_COMP[],K$1,0),"ERROR")</f>
        <v>669</v>
      </c>
      <c r="L37" s="236">
        <f>IFERROR(VLOOKUP($B37,MMWR_TRAD_AGG_RO_COMP[],L$1,0),"ERROR")</f>
        <v>231</v>
      </c>
      <c r="M37" s="233">
        <f t="shared" si="2"/>
        <v>0.3452914798206278</v>
      </c>
      <c r="N37" s="235">
        <f>IFERROR(VLOOKUP($B37,MMWR_TRAD_AGG_RO_COMP[],N$1,0),"ERROR")</f>
        <v>199</v>
      </c>
      <c r="O37" s="236">
        <f>IFERROR(VLOOKUP($B37,MMWR_TRAD_AGG_RO_COMP[],O$1,0),"ERROR")</f>
        <v>89</v>
      </c>
      <c r="P37" s="233">
        <f t="shared" si="3"/>
        <v>0.44723618090452261</v>
      </c>
      <c r="Q37" s="237">
        <f>IFERROR(VLOOKUP($B37,MMWR_TRAD_AGG_RO_COMP[],Q$1,0),"ERROR")</f>
        <v>0</v>
      </c>
      <c r="R37" s="237">
        <f>IFERROR(VLOOKUP($B37,MMWR_TRAD_AGG_RO_COMP[],R$1,0),"ERROR")</f>
        <v>9</v>
      </c>
      <c r="S37" s="202">
        <f>IFERROR(VLOOKUP($B37,MMWR_APP_RO[],S$1,0),"ERROR")</f>
        <v>1226</v>
      </c>
      <c r="T37" s="28"/>
    </row>
    <row r="38" spans="1:20" x14ac:dyDescent="0.2">
      <c r="A38" s="28"/>
      <c r="B38" s="101" t="s">
        <v>392</v>
      </c>
      <c r="C38" s="213">
        <f>IFERROR(VLOOKUP($B38,MMWR_TRAD_AGG_DISTRICT_COMP[],C$1,0),"ERROR")</f>
        <v>55972</v>
      </c>
      <c r="D38" s="198">
        <f>IFERROR(VLOOKUP($B38,MMWR_TRAD_AGG_DISTRICT_COMP[],D$1,0),"ERROR")</f>
        <v>335.61046594729999</v>
      </c>
      <c r="E38" s="214">
        <f>IFERROR(VLOOKUP($B38,MMWR_TRAD_AGG_DISTRICT_COMP[],E$1,0),"ERROR")</f>
        <v>64872</v>
      </c>
      <c r="F38" s="219">
        <f>IFERROR(VLOOKUP($B38,MMWR_TRAD_AGG_DISTRICT_COMP[],F$1,0),"ERROR")</f>
        <v>14039</v>
      </c>
      <c r="G38" s="215">
        <f t="shared" si="0"/>
        <v>0.21641077814773707</v>
      </c>
      <c r="H38" s="219">
        <f>IFERROR(VLOOKUP($B38,MMWR_TRAD_AGG_DISTRICT_COMP[],H$1,0),"ERROR")</f>
        <v>88790</v>
      </c>
      <c r="I38" s="219">
        <f>IFERROR(VLOOKUP($B38,MMWR_TRAD_AGG_DISTRICT_COMP[],I$1,0),"ERROR")</f>
        <v>52083</v>
      </c>
      <c r="J38" s="215">
        <f t="shared" si="1"/>
        <v>0.58658632728910909</v>
      </c>
      <c r="K38" s="213">
        <f>IFERROR(VLOOKUP($B38,MMWR_TRAD_AGG_DISTRICT_COMP[],K$1,0),"ERROR")</f>
        <v>19267</v>
      </c>
      <c r="L38" s="213">
        <f>IFERROR(VLOOKUP($B38,MMWR_TRAD_AGG_DISTRICT_COMP[],L$1,0),"ERROR")</f>
        <v>11789</v>
      </c>
      <c r="M38" s="215">
        <f t="shared" si="2"/>
        <v>0.61187522707219599</v>
      </c>
      <c r="N38" s="213">
        <f>IFERROR(VLOOKUP($B38,MMWR_TRAD_AGG_DISTRICT_COMP[],N$1,0),"ERROR")</f>
        <v>13170</v>
      </c>
      <c r="O38" s="213">
        <f>IFERROR(VLOOKUP($B38,MMWR_TRAD_AGG_DISTRICT_COMP[],O$1,0),"ERROR")</f>
        <v>7934</v>
      </c>
      <c r="P38" s="215">
        <f t="shared" si="3"/>
        <v>0.60242976461655273</v>
      </c>
      <c r="Q38" s="213">
        <f>IFERROR(VLOOKUP($B38,MMWR_TRAD_AGG_DISTRICT_COMP[],Q$1,0),"ERROR")</f>
        <v>46</v>
      </c>
      <c r="R38" s="216">
        <f>IFERROR(VLOOKUP($B38,MMWR_TRAD_AGG_DISTRICT_COMP[],R$1,0),"ERROR")</f>
        <v>1125</v>
      </c>
      <c r="S38" s="216">
        <f>IFERROR(VLOOKUP($B38,MMWR_APP_RO[],S$1,0),"ERROR")</f>
        <v>66714</v>
      </c>
      <c r="T38" s="28"/>
    </row>
    <row r="39" spans="1:20" x14ac:dyDescent="0.2">
      <c r="A39" s="28"/>
      <c r="B39" s="108" t="s">
        <v>39</v>
      </c>
      <c r="C39" s="220">
        <f>IFERROR(VLOOKUP($B39,MMWR_TRAD_AGG_RO_COMP[],C$1,0),"ERROR")</f>
        <v>421</v>
      </c>
      <c r="D39" s="221">
        <f>IFERROR(VLOOKUP($B39,MMWR_TRAD_AGG_RO_COMP[],D$1,0),"ERROR")</f>
        <v>269.79809976249999</v>
      </c>
      <c r="E39" s="222">
        <f>IFERROR(VLOOKUP($B39,MMWR_TRAD_AGG_RO_COMP[],E$1,0),"ERROR")</f>
        <v>824</v>
      </c>
      <c r="F39" s="223">
        <f>IFERROR(VLOOKUP($B39,MMWR_TRAD_AGG_RO_COMP[],F$1,0),"ERROR")</f>
        <v>132</v>
      </c>
      <c r="G39" s="224">
        <f t="shared" si="0"/>
        <v>0.16019417475728157</v>
      </c>
      <c r="H39" s="225">
        <f>IFERROR(VLOOKUP($B39,MMWR_TRAD_AGG_RO_COMP[],H$1,0),"ERROR")</f>
        <v>671</v>
      </c>
      <c r="I39" s="223">
        <f>IFERROR(VLOOKUP($B39,MMWR_TRAD_AGG_RO_COMP[],I$1,0),"ERROR")</f>
        <v>317</v>
      </c>
      <c r="J39" s="224">
        <f t="shared" si="1"/>
        <v>0.47242921013412814</v>
      </c>
      <c r="K39" s="226">
        <f>IFERROR(VLOOKUP($B39,MMWR_TRAD_AGG_RO_COMP[],K$1,0),"ERROR")</f>
        <v>83</v>
      </c>
      <c r="L39" s="227">
        <f>IFERROR(VLOOKUP($B39,MMWR_TRAD_AGG_RO_COMP[],L$1,0),"ERROR")</f>
        <v>9</v>
      </c>
      <c r="M39" s="224">
        <f t="shared" si="2"/>
        <v>0.10843373493975904</v>
      </c>
      <c r="N39" s="226">
        <f>IFERROR(VLOOKUP($B39,MMWR_TRAD_AGG_RO_COMP[],N$1,0),"ERROR")</f>
        <v>115</v>
      </c>
      <c r="O39" s="227">
        <f>IFERROR(VLOOKUP($B39,MMWR_TRAD_AGG_RO_COMP[],O$1,0),"ERROR")</f>
        <v>28</v>
      </c>
      <c r="P39" s="224">
        <f t="shared" si="3"/>
        <v>0.24347826086956523</v>
      </c>
      <c r="Q39" s="228">
        <f>IFERROR(VLOOKUP($B39,MMWR_TRAD_AGG_RO_COMP[],Q$1,0),"ERROR")</f>
        <v>2</v>
      </c>
      <c r="R39" s="228">
        <f>IFERROR(VLOOKUP($B39,MMWR_TRAD_AGG_RO_COMP[],R$1,0),"ERROR")</f>
        <v>6</v>
      </c>
      <c r="S39" s="202">
        <f>IFERROR(VLOOKUP($B39,MMWR_APP_RO[],S$1,0),"ERROR")</f>
        <v>301</v>
      </c>
      <c r="T39" s="28"/>
    </row>
    <row r="40" spans="1:20" x14ac:dyDescent="0.2">
      <c r="A40" s="28"/>
      <c r="B40" s="108" t="s">
        <v>43</v>
      </c>
      <c r="C40" s="220">
        <f>IFERROR(VLOOKUP($B40,MMWR_TRAD_AGG_RO_COMP[],C$1,0),"ERROR")</f>
        <v>6017</v>
      </c>
      <c r="D40" s="221">
        <f>IFERROR(VLOOKUP($B40,MMWR_TRAD_AGG_RO_COMP[],D$1,0),"ERROR")</f>
        <v>392.21821505729997</v>
      </c>
      <c r="E40" s="222">
        <f>IFERROR(VLOOKUP($B40,MMWR_TRAD_AGG_RO_COMP[],E$1,0),"ERROR")</f>
        <v>7794</v>
      </c>
      <c r="F40" s="223">
        <f>IFERROR(VLOOKUP($B40,MMWR_TRAD_AGG_RO_COMP[],F$1,0),"ERROR")</f>
        <v>2212</v>
      </c>
      <c r="G40" s="224">
        <f t="shared" si="0"/>
        <v>0.2838080574801129</v>
      </c>
      <c r="H40" s="225">
        <f>IFERROR(VLOOKUP($B40,MMWR_TRAD_AGG_RO_COMP[],H$1,0),"ERROR")</f>
        <v>8030</v>
      </c>
      <c r="I40" s="223">
        <f>IFERROR(VLOOKUP($B40,MMWR_TRAD_AGG_RO_COMP[],I$1,0),"ERROR")</f>
        <v>5768</v>
      </c>
      <c r="J40" s="224">
        <f t="shared" si="1"/>
        <v>0.71830635118306352</v>
      </c>
      <c r="K40" s="226">
        <f>IFERROR(VLOOKUP($B40,MMWR_TRAD_AGG_RO_COMP[],K$1,0),"ERROR")</f>
        <v>2342</v>
      </c>
      <c r="L40" s="227">
        <f>IFERROR(VLOOKUP($B40,MMWR_TRAD_AGG_RO_COMP[],L$1,0),"ERROR")</f>
        <v>1707</v>
      </c>
      <c r="M40" s="224">
        <f t="shared" si="2"/>
        <v>0.72886421861656703</v>
      </c>
      <c r="N40" s="226">
        <f>IFERROR(VLOOKUP($B40,MMWR_TRAD_AGG_RO_COMP[],N$1,0),"ERROR")</f>
        <v>814</v>
      </c>
      <c r="O40" s="227">
        <f>IFERROR(VLOOKUP($B40,MMWR_TRAD_AGG_RO_COMP[],O$1,0),"ERROR")</f>
        <v>372</v>
      </c>
      <c r="P40" s="224">
        <f t="shared" si="3"/>
        <v>0.45700245700245701</v>
      </c>
      <c r="Q40" s="228">
        <f>IFERROR(VLOOKUP($B40,MMWR_TRAD_AGG_RO_COMP[],Q$1,0),"ERROR")</f>
        <v>0</v>
      </c>
      <c r="R40" s="228">
        <f>IFERROR(VLOOKUP($B40,MMWR_TRAD_AGG_RO_COMP[],R$1,0),"ERROR")</f>
        <v>57</v>
      </c>
      <c r="S40" s="202">
        <f>IFERROR(VLOOKUP($B40,MMWR_APP_RO[],S$1,0),"ERROR")</f>
        <v>6204</v>
      </c>
      <c r="T40" s="28"/>
    </row>
    <row r="41" spans="1:20" x14ac:dyDescent="0.2">
      <c r="A41" s="28"/>
      <c r="B41" s="108" t="s">
        <v>187</v>
      </c>
      <c r="C41" s="220">
        <f>IFERROR(VLOOKUP($B41,MMWR_TRAD_AGG_RO_COMP[],C$1,0),"ERROR")</f>
        <v>631</v>
      </c>
      <c r="D41" s="221">
        <f>IFERROR(VLOOKUP($B41,MMWR_TRAD_AGG_RO_COMP[],D$1,0),"ERROR")</f>
        <v>175.06022186999999</v>
      </c>
      <c r="E41" s="222">
        <f>IFERROR(VLOOKUP($B41,MMWR_TRAD_AGG_RO_COMP[],E$1,0),"ERROR")</f>
        <v>669</v>
      </c>
      <c r="F41" s="223">
        <f>IFERROR(VLOOKUP($B41,MMWR_TRAD_AGG_RO_COMP[],F$1,0),"ERROR")</f>
        <v>65</v>
      </c>
      <c r="G41" s="224">
        <f t="shared" si="0"/>
        <v>9.7159940209267562E-2</v>
      </c>
      <c r="H41" s="225">
        <f>IFERROR(VLOOKUP($B41,MMWR_TRAD_AGG_RO_COMP[],H$1,0),"ERROR")</f>
        <v>856</v>
      </c>
      <c r="I41" s="223">
        <f>IFERROR(VLOOKUP($B41,MMWR_TRAD_AGG_RO_COMP[],I$1,0),"ERROR")</f>
        <v>345</v>
      </c>
      <c r="J41" s="224">
        <f t="shared" si="1"/>
        <v>0.4030373831775701</v>
      </c>
      <c r="K41" s="226">
        <f>IFERROR(VLOOKUP($B41,MMWR_TRAD_AGG_RO_COMP[],K$1,0),"ERROR")</f>
        <v>451</v>
      </c>
      <c r="L41" s="227">
        <f>IFERROR(VLOOKUP($B41,MMWR_TRAD_AGG_RO_COMP[],L$1,0),"ERROR")</f>
        <v>146</v>
      </c>
      <c r="M41" s="224">
        <f t="shared" si="2"/>
        <v>0.32372505543237251</v>
      </c>
      <c r="N41" s="226">
        <f>IFERROR(VLOOKUP($B41,MMWR_TRAD_AGG_RO_COMP[],N$1,0),"ERROR")</f>
        <v>117</v>
      </c>
      <c r="O41" s="227">
        <f>IFERROR(VLOOKUP($B41,MMWR_TRAD_AGG_RO_COMP[],O$1,0),"ERROR")</f>
        <v>43</v>
      </c>
      <c r="P41" s="224">
        <f t="shared" si="3"/>
        <v>0.36752136752136755</v>
      </c>
      <c r="Q41" s="228">
        <f>IFERROR(VLOOKUP($B41,MMWR_TRAD_AGG_RO_COMP[],Q$1,0),"ERROR")</f>
        <v>0</v>
      </c>
      <c r="R41" s="228">
        <f>IFERROR(VLOOKUP($B41,MMWR_TRAD_AGG_RO_COMP[],R$1,0),"ERROR")</f>
        <v>2</v>
      </c>
      <c r="S41" s="202">
        <f>IFERROR(VLOOKUP($B41,MMWR_APP_RO[],S$1,0),"ERROR")</f>
        <v>329</v>
      </c>
      <c r="T41" s="28"/>
    </row>
    <row r="42" spans="1:20" x14ac:dyDescent="0.2">
      <c r="A42" s="28"/>
      <c r="B42" s="108" t="s">
        <v>49</v>
      </c>
      <c r="C42" s="220">
        <f>IFERROR(VLOOKUP($B42,MMWR_TRAD_AGG_RO_COMP[],C$1,0),"ERROR")</f>
        <v>12866</v>
      </c>
      <c r="D42" s="221">
        <f>IFERROR(VLOOKUP($B42,MMWR_TRAD_AGG_RO_COMP[],D$1,0),"ERROR")</f>
        <v>344.57135084719999</v>
      </c>
      <c r="E42" s="222">
        <f>IFERROR(VLOOKUP($B42,MMWR_TRAD_AGG_RO_COMP[],E$1,0),"ERROR")</f>
        <v>15639</v>
      </c>
      <c r="F42" s="223">
        <f>IFERROR(VLOOKUP($B42,MMWR_TRAD_AGG_RO_COMP[],F$1,0),"ERROR")</f>
        <v>4026</v>
      </c>
      <c r="G42" s="224">
        <f t="shared" si="0"/>
        <v>0.25743333972760407</v>
      </c>
      <c r="H42" s="225">
        <f>IFERROR(VLOOKUP($B42,MMWR_TRAD_AGG_RO_COMP[],H$1,0),"ERROR")</f>
        <v>16560</v>
      </c>
      <c r="I42" s="223">
        <f>IFERROR(VLOOKUP($B42,MMWR_TRAD_AGG_RO_COMP[],I$1,0),"ERROR")</f>
        <v>11647</v>
      </c>
      <c r="J42" s="224">
        <f t="shared" si="1"/>
        <v>0.70332125603864737</v>
      </c>
      <c r="K42" s="226">
        <f>IFERROR(VLOOKUP($B42,MMWR_TRAD_AGG_RO_COMP[],K$1,0),"ERROR")</f>
        <v>2547</v>
      </c>
      <c r="L42" s="227">
        <f>IFERROR(VLOOKUP($B42,MMWR_TRAD_AGG_RO_COMP[],L$1,0),"ERROR")</f>
        <v>1446</v>
      </c>
      <c r="M42" s="224">
        <f t="shared" si="2"/>
        <v>0.5677267373380448</v>
      </c>
      <c r="N42" s="226">
        <f>IFERROR(VLOOKUP($B42,MMWR_TRAD_AGG_RO_COMP[],N$1,0),"ERROR")</f>
        <v>2882</v>
      </c>
      <c r="O42" s="227">
        <f>IFERROR(VLOOKUP($B42,MMWR_TRAD_AGG_RO_COMP[],O$1,0),"ERROR")</f>
        <v>2264</v>
      </c>
      <c r="P42" s="224">
        <f t="shared" si="3"/>
        <v>0.7855655794587092</v>
      </c>
      <c r="Q42" s="228">
        <f>IFERROR(VLOOKUP($B42,MMWR_TRAD_AGG_RO_COMP[],Q$1,0),"ERROR")</f>
        <v>1</v>
      </c>
      <c r="R42" s="228">
        <f>IFERROR(VLOOKUP($B42,MMWR_TRAD_AGG_RO_COMP[],R$1,0),"ERROR")</f>
        <v>226</v>
      </c>
      <c r="S42" s="202">
        <f>IFERROR(VLOOKUP($B42,MMWR_APP_RO[],S$1,0),"ERROR")</f>
        <v>19823</v>
      </c>
      <c r="T42" s="28"/>
    </row>
    <row r="43" spans="1:20" x14ac:dyDescent="0.2">
      <c r="A43" s="28"/>
      <c r="B43" s="108" t="s">
        <v>52</v>
      </c>
      <c r="C43" s="220">
        <f>IFERROR(VLOOKUP($B43,MMWR_TRAD_AGG_RO_COMP[],C$1,0),"ERROR")</f>
        <v>4274</v>
      </c>
      <c r="D43" s="221">
        <f>IFERROR(VLOOKUP($B43,MMWR_TRAD_AGG_RO_COMP[],D$1,0),"ERROR")</f>
        <v>392.96817969120002</v>
      </c>
      <c r="E43" s="222">
        <f>IFERROR(VLOOKUP($B43,MMWR_TRAD_AGG_RO_COMP[],E$1,0),"ERROR")</f>
        <v>4181</v>
      </c>
      <c r="F43" s="223">
        <f>IFERROR(VLOOKUP($B43,MMWR_TRAD_AGG_RO_COMP[],F$1,0),"ERROR")</f>
        <v>1131</v>
      </c>
      <c r="G43" s="224">
        <f t="shared" si="0"/>
        <v>0.27050944750059797</v>
      </c>
      <c r="H43" s="225">
        <f>IFERROR(VLOOKUP($B43,MMWR_TRAD_AGG_RO_COMP[],H$1,0),"ERROR")</f>
        <v>6539</v>
      </c>
      <c r="I43" s="223">
        <f>IFERROR(VLOOKUP($B43,MMWR_TRAD_AGG_RO_COMP[],I$1,0),"ERROR")</f>
        <v>4383</v>
      </c>
      <c r="J43" s="224">
        <f t="shared" si="1"/>
        <v>0.67028597644899834</v>
      </c>
      <c r="K43" s="226">
        <f>IFERROR(VLOOKUP($B43,MMWR_TRAD_AGG_RO_COMP[],K$1,0),"ERROR")</f>
        <v>2037</v>
      </c>
      <c r="L43" s="227">
        <f>IFERROR(VLOOKUP($B43,MMWR_TRAD_AGG_RO_COMP[],L$1,0),"ERROR")</f>
        <v>1590</v>
      </c>
      <c r="M43" s="224">
        <f t="shared" si="2"/>
        <v>0.78055964653902798</v>
      </c>
      <c r="N43" s="226">
        <f>IFERROR(VLOOKUP($B43,MMWR_TRAD_AGG_RO_COMP[],N$1,0),"ERROR")</f>
        <v>2121</v>
      </c>
      <c r="O43" s="227">
        <f>IFERROR(VLOOKUP($B43,MMWR_TRAD_AGG_RO_COMP[],O$1,0),"ERROR")</f>
        <v>1673</v>
      </c>
      <c r="P43" s="224">
        <f t="shared" si="3"/>
        <v>0.78877887788778878</v>
      </c>
      <c r="Q43" s="228">
        <f>IFERROR(VLOOKUP($B43,MMWR_TRAD_AGG_RO_COMP[],Q$1,0),"ERROR")</f>
        <v>39</v>
      </c>
      <c r="R43" s="228">
        <f>IFERROR(VLOOKUP($B43,MMWR_TRAD_AGG_RO_COMP[],R$1,0),"ERROR")</f>
        <v>179</v>
      </c>
      <c r="S43" s="202">
        <f>IFERROR(VLOOKUP($B43,MMWR_APP_RO[],S$1,0),"ERROR")</f>
        <v>4589</v>
      </c>
      <c r="T43" s="28"/>
    </row>
    <row r="44" spans="1:20" x14ac:dyDescent="0.2">
      <c r="A44" s="28"/>
      <c r="B44" s="108" t="s">
        <v>54</v>
      </c>
      <c r="C44" s="220">
        <f>IFERROR(VLOOKUP($B44,MMWR_TRAD_AGG_RO_COMP[],C$1,0),"ERROR")</f>
        <v>5044</v>
      </c>
      <c r="D44" s="221">
        <f>IFERROR(VLOOKUP($B44,MMWR_TRAD_AGG_RO_COMP[],D$1,0),"ERROR")</f>
        <v>358.90503568600002</v>
      </c>
      <c r="E44" s="222">
        <f>IFERROR(VLOOKUP($B44,MMWR_TRAD_AGG_RO_COMP[],E$1,0),"ERROR")</f>
        <v>3428</v>
      </c>
      <c r="F44" s="223">
        <f>IFERROR(VLOOKUP($B44,MMWR_TRAD_AGG_RO_COMP[],F$1,0),"ERROR")</f>
        <v>579</v>
      </c>
      <c r="G44" s="224">
        <f t="shared" si="0"/>
        <v>0.1689031505250875</v>
      </c>
      <c r="H44" s="225">
        <f>IFERROR(VLOOKUP($B44,MMWR_TRAD_AGG_RO_COMP[],H$1,0),"ERROR")</f>
        <v>9217</v>
      </c>
      <c r="I44" s="223">
        <f>IFERROR(VLOOKUP($B44,MMWR_TRAD_AGG_RO_COMP[],I$1,0),"ERROR")</f>
        <v>4641</v>
      </c>
      <c r="J44" s="224">
        <f t="shared" si="1"/>
        <v>0.50352609308885754</v>
      </c>
      <c r="K44" s="226">
        <f>IFERROR(VLOOKUP($B44,MMWR_TRAD_AGG_RO_COMP[],K$1,0),"ERROR")</f>
        <v>4431</v>
      </c>
      <c r="L44" s="227">
        <f>IFERROR(VLOOKUP($B44,MMWR_TRAD_AGG_RO_COMP[],L$1,0),"ERROR")</f>
        <v>3882</v>
      </c>
      <c r="M44" s="224">
        <f t="shared" si="2"/>
        <v>0.87610020311442116</v>
      </c>
      <c r="N44" s="226">
        <f>IFERROR(VLOOKUP($B44,MMWR_TRAD_AGG_RO_COMP[],N$1,0),"ERROR")</f>
        <v>1071</v>
      </c>
      <c r="O44" s="227">
        <f>IFERROR(VLOOKUP($B44,MMWR_TRAD_AGG_RO_COMP[],O$1,0),"ERROR")</f>
        <v>488</v>
      </c>
      <c r="P44" s="224">
        <f t="shared" si="3"/>
        <v>0.45564892623716152</v>
      </c>
      <c r="Q44" s="228">
        <f>IFERROR(VLOOKUP($B44,MMWR_TRAD_AGG_RO_COMP[],Q$1,0),"ERROR")</f>
        <v>1</v>
      </c>
      <c r="R44" s="228">
        <f>IFERROR(VLOOKUP($B44,MMWR_TRAD_AGG_RO_COMP[],R$1,0),"ERROR")</f>
        <v>139</v>
      </c>
      <c r="S44" s="202">
        <f>IFERROR(VLOOKUP($B44,MMWR_APP_RO[],S$1,0),"ERROR")</f>
        <v>5233</v>
      </c>
      <c r="T44" s="28"/>
    </row>
    <row r="45" spans="1:20" x14ac:dyDescent="0.2">
      <c r="A45" s="28"/>
      <c r="B45" s="108" t="s">
        <v>27</v>
      </c>
      <c r="C45" s="220">
        <f>IFERROR(VLOOKUP($B45,MMWR_TRAD_AGG_RO_COMP[],C$1,0),"ERROR")</f>
        <v>1400</v>
      </c>
      <c r="D45" s="221">
        <f>IFERROR(VLOOKUP($B45,MMWR_TRAD_AGG_RO_COMP[],D$1,0),"ERROR")</f>
        <v>95.545000000000002</v>
      </c>
      <c r="E45" s="222">
        <f>IFERROR(VLOOKUP($B45,MMWR_TRAD_AGG_RO_COMP[],E$1,0),"ERROR")</f>
        <v>6241</v>
      </c>
      <c r="F45" s="223">
        <f>IFERROR(VLOOKUP($B45,MMWR_TRAD_AGG_RO_COMP[],F$1,0),"ERROR")</f>
        <v>973</v>
      </c>
      <c r="G45" s="224">
        <f t="shared" si="0"/>
        <v>0.15590450248357635</v>
      </c>
      <c r="H45" s="225">
        <f>IFERROR(VLOOKUP($B45,MMWR_TRAD_AGG_RO_COMP[],H$1,0),"ERROR")</f>
        <v>8663</v>
      </c>
      <c r="I45" s="223">
        <f>IFERROR(VLOOKUP($B45,MMWR_TRAD_AGG_RO_COMP[],I$1,0),"ERROR")</f>
        <v>3093</v>
      </c>
      <c r="J45" s="224">
        <f t="shared" si="1"/>
        <v>0.3570356689368579</v>
      </c>
      <c r="K45" s="226">
        <f>IFERROR(VLOOKUP($B45,MMWR_TRAD_AGG_RO_COMP[],K$1,0),"ERROR")</f>
        <v>1785</v>
      </c>
      <c r="L45" s="227">
        <f>IFERROR(VLOOKUP($B45,MMWR_TRAD_AGG_RO_COMP[],L$1,0),"ERROR")</f>
        <v>531</v>
      </c>
      <c r="M45" s="224">
        <f t="shared" si="2"/>
        <v>0.29747899159663865</v>
      </c>
      <c r="N45" s="226">
        <f>IFERROR(VLOOKUP($B45,MMWR_TRAD_AGG_RO_COMP[],N$1,0),"ERROR")</f>
        <v>1012</v>
      </c>
      <c r="O45" s="227">
        <f>IFERROR(VLOOKUP($B45,MMWR_TRAD_AGG_RO_COMP[],O$1,0),"ERROR")</f>
        <v>486</v>
      </c>
      <c r="P45" s="224">
        <f t="shared" si="3"/>
        <v>0.48023715415019763</v>
      </c>
      <c r="Q45" s="228">
        <f>IFERROR(VLOOKUP($B45,MMWR_TRAD_AGG_RO_COMP[],Q$1,0),"ERROR")</f>
        <v>0</v>
      </c>
      <c r="R45" s="228">
        <f>IFERROR(VLOOKUP($B45,MMWR_TRAD_AGG_RO_COMP[],R$1,0),"ERROR")</f>
        <v>60</v>
      </c>
      <c r="S45" s="202">
        <f>IFERROR(VLOOKUP($B45,MMWR_APP_RO[],S$1,0),"ERROR")</f>
        <v>4303</v>
      </c>
      <c r="T45" s="28"/>
    </row>
    <row r="46" spans="1:20" x14ac:dyDescent="0.2">
      <c r="A46" s="28"/>
      <c r="B46" s="108" t="s">
        <v>62</v>
      </c>
      <c r="C46" s="220">
        <f>IFERROR(VLOOKUP($B46,MMWR_TRAD_AGG_RO_COMP[],C$1,0),"ERROR")</f>
        <v>4909</v>
      </c>
      <c r="D46" s="221">
        <f>IFERROR(VLOOKUP($B46,MMWR_TRAD_AGG_RO_COMP[],D$1,0),"ERROR")</f>
        <v>439.63780810759999</v>
      </c>
      <c r="E46" s="222">
        <f>IFERROR(VLOOKUP($B46,MMWR_TRAD_AGG_RO_COMP[],E$1,0),"ERROR")</f>
        <v>5746</v>
      </c>
      <c r="F46" s="223">
        <f>IFERROR(VLOOKUP($B46,MMWR_TRAD_AGG_RO_COMP[],F$1,0),"ERROR")</f>
        <v>1014</v>
      </c>
      <c r="G46" s="224">
        <f t="shared" si="0"/>
        <v>0.17647058823529413</v>
      </c>
      <c r="H46" s="225">
        <f>IFERROR(VLOOKUP($B46,MMWR_TRAD_AGG_RO_COMP[],H$1,0),"ERROR")</f>
        <v>6199</v>
      </c>
      <c r="I46" s="223">
        <f>IFERROR(VLOOKUP($B46,MMWR_TRAD_AGG_RO_COMP[],I$1,0),"ERROR")</f>
        <v>4411</v>
      </c>
      <c r="J46" s="224">
        <f t="shared" si="1"/>
        <v>0.71156638167446362</v>
      </c>
      <c r="K46" s="226">
        <f>IFERROR(VLOOKUP($B46,MMWR_TRAD_AGG_RO_COMP[],K$1,0),"ERROR")</f>
        <v>770</v>
      </c>
      <c r="L46" s="227">
        <f>IFERROR(VLOOKUP($B46,MMWR_TRAD_AGG_RO_COMP[],L$1,0),"ERROR")</f>
        <v>449</v>
      </c>
      <c r="M46" s="224">
        <f t="shared" si="2"/>
        <v>0.58311688311688314</v>
      </c>
      <c r="N46" s="226">
        <f>IFERROR(VLOOKUP($B46,MMWR_TRAD_AGG_RO_COMP[],N$1,0),"ERROR")</f>
        <v>1109</v>
      </c>
      <c r="O46" s="227">
        <f>IFERROR(VLOOKUP($B46,MMWR_TRAD_AGG_RO_COMP[],O$1,0),"ERROR")</f>
        <v>618</v>
      </c>
      <c r="P46" s="224">
        <f t="shared" si="3"/>
        <v>0.55725879170423809</v>
      </c>
      <c r="Q46" s="228">
        <f>IFERROR(VLOOKUP($B46,MMWR_TRAD_AGG_RO_COMP[],Q$1,0),"ERROR")</f>
        <v>1</v>
      </c>
      <c r="R46" s="228">
        <f>IFERROR(VLOOKUP($B46,MMWR_TRAD_AGG_RO_COMP[],R$1,0),"ERROR")</f>
        <v>252</v>
      </c>
      <c r="S46" s="202">
        <f>IFERROR(VLOOKUP($B46,MMWR_APP_RO[],S$1,0),"ERROR")</f>
        <v>5734</v>
      </c>
      <c r="T46" s="28"/>
    </row>
    <row r="47" spans="1:20" x14ac:dyDescent="0.2">
      <c r="A47" s="28"/>
      <c r="B47" s="108" t="s">
        <v>73</v>
      </c>
      <c r="C47" s="220">
        <f>IFERROR(VLOOKUP($B47,MMWR_TRAD_AGG_RO_COMP[],C$1,0),"ERROR")</f>
        <v>7820</v>
      </c>
      <c r="D47" s="221">
        <f>IFERROR(VLOOKUP($B47,MMWR_TRAD_AGG_RO_COMP[],D$1,0),"ERROR")</f>
        <v>239.83759590790001</v>
      </c>
      <c r="E47" s="222">
        <f>IFERROR(VLOOKUP($B47,MMWR_TRAD_AGG_RO_COMP[],E$1,0),"ERROR")</f>
        <v>2290</v>
      </c>
      <c r="F47" s="223">
        <f>IFERROR(VLOOKUP($B47,MMWR_TRAD_AGG_RO_COMP[],F$1,0),"ERROR")</f>
        <v>507</v>
      </c>
      <c r="G47" s="224">
        <f t="shared" si="0"/>
        <v>0.22139737991266376</v>
      </c>
      <c r="H47" s="225">
        <f>IFERROR(VLOOKUP($B47,MMWR_TRAD_AGG_RO_COMP[],H$1,0),"ERROR")</f>
        <v>17010</v>
      </c>
      <c r="I47" s="223">
        <f>IFERROR(VLOOKUP($B47,MMWR_TRAD_AGG_RO_COMP[],I$1,0),"ERROR")</f>
        <v>8190</v>
      </c>
      <c r="J47" s="224">
        <f t="shared" si="1"/>
        <v>0.48148148148148145</v>
      </c>
      <c r="K47" s="226">
        <f>IFERROR(VLOOKUP($B47,MMWR_TRAD_AGG_RO_COMP[],K$1,0),"ERROR")</f>
        <v>1745</v>
      </c>
      <c r="L47" s="227">
        <f>IFERROR(VLOOKUP($B47,MMWR_TRAD_AGG_RO_COMP[],L$1,0),"ERROR")</f>
        <v>636</v>
      </c>
      <c r="M47" s="224">
        <f t="shared" si="2"/>
        <v>0.36446991404011464</v>
      </c>
      <c r="N47" s="226">
        <f>IFERROR(VLOOKUP($B47,MMWR_TRAD_AGG_RO_COMP[],N$1,0),"ERROR")</f>
        <v>156</v>
      </c>
      <c r="O47" s="227">
        <f>IFERROR(VLOOKUP($B47,MMWR_TRAD_AGG_RO_COMP[],O$1,0),"ERROR")</f>
        <v>98</v>
      </c>
      <c r="P47" s="224">
        <f t="shared" si="3"/>
        <v>0.62820512820512819</v>
      </c>
      <c r="Q47" s="228">
        <f>IFERROR(VLOOKUP($B47,MMWR_TRAD_AGG_RO_COMP[],Q$1,0),"ERROR")</f>
        <v>0</v>
      </c>
      <c r="R47" s="228">
        <f>IFERROR(VLOOKUP($B47,MMWR_TRAD_AGG_RO_COMP[],R$1,0),"ERROR")</f>
        <v>2</v>
      </c>
      <c r="S47" s="202">
        <f>IFERROR(VLOOKUP($B47,MMWR_APP_RO[],S$1,0),"ERROR")</f>
        <v>613</v>
      </c>
      <c r="T47" s="28"/>
    </row>
    <row r="48" spans="1:20" x14ac:dyDescent="0.2">
      <c r="A48" s="28"/>
      <c r="B48" s="116" t="s">
        <v>82</v>
      </c>
      <c r="C48" s="229">
        <f>IFERROR(VLOOKUP($B48,MMWR_TRAD_AGG_RO_COMP[],C$1,0),"ERROR")</f>
        <v>12590</v>
      </c>
      <c r="D48" s="230">
        <f>IFERROR(VLOOKUP($B48,MMWR_TRAD_AGG_RO_COMP[],D$1,0),"ERROR")</f>
        <v>326.46314535350001</v>
      </c>
      <c r="E48" s="231">
        <f>IFERROR(VLOOKUP($B48,MMWR_TRAD_AGG_RO_COMP[],E$1,0),"ERROR")</f>
        <v>18060</v>
      </c>
      <c r="F48" s="232">
        <f>IFERROR(VLOOKUP($B48,MMWR_TRAD_AGG_RO_COMP[],F$1,0),"ERROR")</f>
        <v>3400</v>
      </c>
      <c r="G48" s="233">
        <f t="shared" si="0"/>
        <v>0.18826135105204872</v>
      </c>
      <c r="H48" s="234">
        <f>IFERROR(VLOOKUP($B48,MMWR_TRAD_AGG_RO_COMP[],H$1,0),"ERROR")</f>
        <v>15045</v>
      </c>
      <c r="I48" s="232">
        <f>IFERROR(VLOOKUP($B48,MMWR_TRAD_AGG_RO_COMP[],I$1,0),"ERROR")</f>
        <v>9288</v>
      </c>
      <c r="J48" s="233">
        <f t="shared" si="1"/>
        <v>0.6173479561316052</v>
      </c>
      <c r="K48" s="235">
        <f>IFERROR(VLOOKUP($B48,MMWR_TRAD_AGG_RO_COMP[],K$1,0),"ERROR")</f>
        <v>3076</v>
      </c>
      <c r="L48" s="236">
        <f>IFERROR(VLOOKUP($B48,MMWR_TRAD_AGG_RO_COMP[],L$1,0),"ERROR")</f>
        <v>1393</v>
      </c>
      <c r="M48" s="233">
        <f t="shared" si="2"/>
        <v>0.45286085825747724</v>
      </c>
      <c r="N48" s="235">
        <f>IFERROR(VLOOKUP($B48,MMWR_TRAD_AGG_RO_COMP[],N$1,0),"ERROR")</f>
        <v>3773</v>
      </c>
      <c r="O48" s="236">
        <f>IFERROR(VLOOKUP($B48,MMWR_TRAD_AGG_RO_COMP[],O$1,0),"ERROR")</f>
        <v>1864</v>
      </c>
      <c r="P48" s="233">
        <f t="shared" si="3"/>
        <v>0.49403657566922871</v>
      </c>
      <c r="Q48" s="237">
        <f>IFERROR(VLOOKUP($B48,MMWR_TRAD_AGG_RO_COMP[],Q$1,0),"ERROR")</f>
        <v>2</v>
      </c>
      <c r="R48" s="237">
        <f>IFERROR(VLOOKUP($B48,MMWR_TRAD_AGG_RO_COMP[],R$1,0),"ERROR")</f>
        <v>202</v>
      </c>
      <c r="S48" s="202">
        <f>IFERROR(VLOOKUP($B48,MMWR_APP_RO[],S$1,0),"ERROR")</f>
        <v>19585</v>
      </c>
      <c r="T48" s="28"/>
    </row>
    <row r="49" spans="1:20" x14ac:dyDescent="0.2">
      <c r="A49" s="28"/>
      <c r="B49" s="101" t="s">
        <v>411</v>
      </c>
      <c r="C49" s="213">
        <f>IFERROR(VLOOKUP($B49,MMWR_TRAD_AGG_DISTRICT_COMP[],C$1,0),"ERROR")</f>
        <v>57292</v>
      </c>
      <c r="D49" s="198">
        <f>IFERROR(VLOOKUP($B49,MMWR_TRAD_AGG_DISTRICT_COMP[],D$1,0),"ERROR")</f>
        <v>368.644976611</v>
      </c>
      <c r="E49" s="214">
        <f>IFERROR(VLOOKUP($B49,MMWR_TRAD_AGG_DISTRICT_COMP[],E$1,0),"ERROR")</f>
        <v>60408</v>
      </c>
      <c r="F49" s="219">
        <f>IFERROR(VLOOKUP($B49,MMWR_TRAD_AGG_DISTRICT_COMP[],F$1,0),"ERROR")</f>
        <v>12203</v>
      </c>
      <c r="G49" s="215">
        <f t="shared" si="0"/>
        <v>0.20200966759369621</v>
      </c>
      <c r="H49" s="219">
        <f>IFERROR(VLOOKUP($B49,MMWR_TRAD_AGG_DISTRICT_COMP[],H$1,0),"ERROR")</f>
        <v>82570</v>
      </c>
      <c r="I49" s="219">
        <f>IFERROR(VLOOKUP($B49,MMWR_TRAD_AGG_DISTRICT_COMP[],I$1,0),"ERROR")</f>
        <v>53651</v>
      </c>
      <c r="J49" s="215">
        <f t="shared" si="1"/>
        <v>0.64976383674458038</v>
      </c>
      <c r="K49" s="213">
        <f>IFERROR(VLOOKUP($B49,MMWR_TRAD_AGG_DISTRICT_COMP[],K$1,0),"ERROR")</f>
        <v>22516</v>
      </c>
      <c r="L49" s="213">
        <f>IFERROR(VLOOKUP($B49,MMWR_TRAD_AGG_DISTRICT_COMP[],L$1,0),"ERROR")</f>
        <v>15239</v>
      </c>
      <c r="M49" s="215">
        <f t="shared" si="2"/>
        <v>0.67680760348196833</v>
      </c>
      <c r="N49" s="213">
        <f>IFERROR(VLOOKUP($B49,MMWR_TRAD_AGG_DISTRICT_COMP[],N$1,0),"ERROR")</f>
        <v>19289</v>
      </c>
      <c r="O49" s="213">
        <f>IFERROR(VLOOKUP($B49,MMWR_TRAD_AGG_DISTRICT_COMP[],O$1,0),"ERROR")</f>
        <v>14769</v>
      </c>
      <c r="P49" s="215">
        <f t="shared" si="3"/>
        <v>0.76566955259474312</v>
      </c>
      <c r="Q49" s="213">
        <f>IFERROR(VLOOKUP($B49,MMWR_TRAD_AGG_DISTRICT_COMP[],Q$1,0),"ERROR")</f>
        <v>343</v>
      </c>
      <c r="R49" s="216">
        <f>IFERROR(VLOOKUP($B49,MMWR_TRAD_AGG_DISTRICT_COMP[],R$1,0),"ERROR")</f>
        <v>662</v>
      </c>
      <c r="S49" s="216">
        <f>IFERROR(VLOOKUP($B49,MMWR_APP_RO[],S$1,0),"ERROR")</f>
        <v>43799</v>
      </c>
      <c r="T49" s="28"/>
    </row>
    <row r="50" spans="1:20" x14ac:dyDescent="0.2">
      <c r="A50" s="28"/>
      <c r="B50" s="108" t="s">
        <v>34</v>
      </c>
      <c r="C50" s="220">
        <f>IFERROR(VLOOKUP($B50,MMWR_TRAD_AGG_RO_COMP[],C$1,0),"ERROR")</f>
        <v>1081</v>
      </c>
      <c r="D50" s="221">
        <f>IFERROR(VLOOKUP($B50,MMWR_TRAD_AGG_RO_COMP[],D$1,0),"ERROR")</f>
        <v>132.04625346899999</v>
      </c>
      <c r="E50" s="222">
        <f>IFERROR(VLOOKUP($B50,MMWR_TRAD_AGG_RO_COMP[],E$1,0),"ERROR")</f>
        <v>3109</v>
      </c>
      <c r="F50" s="223">
        <f>IFERROR(VLOOKUP($B50,MMWR_TRAD_AGG_RO_COMP[],F$1,0),"ERROR")</f>
        <v>613</v>
      </c>
      <c r="G50" s="224">
        <f t="shared" si="0"/>
        <v>0.19716950788034737</v>
      </c>
      <c r="H50" s="225">
        <f>IFERROR(VLOOKUP($B50,MMWR_TRAD_AGG_RO_COMP[],H$1,0),"ERROR")</f>
        <v>1546</v>
      </c>
      <c r="I50" s="223">
        <f>IFERROR(VLOOKUP($B50,MMWR_TRAD_AGG_RO_COMP[],I$1,0),"ERROR")</f>
        <v>500</v>
      </c>
      <c r="J50" s="224">
        <f t="shared" si="1"/>
        <v>0.32341526520051744</v>
      </c>
      <c r="K50" s="226">
        <f>IFERROR(VLOOKUP($B50,MMWR_TRAD_AGG_RO_COMP[],K$1,0),"ERROR")</f>
        <v>361</v>
      </c>
      <c r="L50" s="227">
        <f>IFERROR(VLOOKUP($B50,MMWR_TRAD_AGG_RO_COMP[],L$1,0),"ERROR")</f>
        <v>94</v>
      </c>
      <c r="M50" s="224">
        <f t="shared" si="2"/>
        <v>0.26038781163434904</v>
      </c>
      <c r="N50" s="226">
        <f>IFERROR(VLOOKUP($B50,MMWR_TRAD_AGG_RO_COMP[],N$1,0),"ERROR")</f>
        <v>371</v>
      </c>
      <c r="O50" s="227">
        <f>IFERROR(VLOOKUP($B50,MMWR_TRAD_AGG_RO_COMP[],O$1,0),"ERROR")</f>
        <v>208</v>
      </c>
      <c r="P50" s="224">
        <f t="shared" si="3"/>
        <v>0.56064690026954178</v>
      </c>
      <c r="Q50" s="228">
        <f>IFERROR(VLOOKUP($B50,MMWR_TRAD_AGG_RO_COMP[],Q$1,0),"ERROR")</f>
        <v>0</v>
      </c>
      <c r="R50" s="228">
        <f>IFERROR(VLOOKUP($B50,MMWR_TRAD_AGG_RO_COMP[],R$1,0),"ERROR")</f>
        <v>8</v>
      </c>
      <c r="S50" s="202">
        <f>IFERROR(VLOOKUP($B50,MMWR_APP_RO[],S$1,0),"ERROR")</f>
        <v>1737</v>
      </c>
      <c r="T50" s="28"/>
    </row>
    <row r="51" spans="1:20" x14ac:dyDescent="0.2">
      <c r="A51" s="28"/>
      <c r="B51" s="108" t="s">
        <v>35</v>
      </c>
      <c r="C51" s="220">
        <f>IFERROR(VLOOKUP($B51,MMWR_TRAD_AGG_RO_COMP[],C$1,0),"ERROR")</f>
        <v>1978</v>
      </c>
      <c r="D51" s="221">
        <f>IFERROR(VLOOKUP($B51,MMWR_TRAD_AGG_RO_COMP[],D$1,0),"ERROR")</f>
        <v>445.00758341760002</v>
      </c>
      <c r="E51" s="222">
        <f>IFERROR(VLOOKUP($B51,MMWR_TRAD_AGG_RO_COMP[],E$1,0),"ERROR")</f>
        <v>1183</v>
      </c>
      <c r="F51" s="223">
        <f>IFERROR(VLOOKUP($B51,MMWR_TRAD_AGG_RO_COMP[],F$1,0),"ERROR")</f>
        <v>324</v>
      </c>
      <c r="G51" s="224">
        <f t="shared" si="0"/>
        <v>0.27387996618765847</v>
      </c>
      <c r="H51" s="225">
        <f>IFERROR(VLOOKUP($B51,MMWR_TRAD_AGG_RO_COMP[],H$1,0),"ERROR")</f>
        <v>2693</v>
      </c>
      <c r="I51" s="223">
        <f>IFERROR(VLOOKUP($B51,MMWR_TRAD_AGG_RO_COMP[],I$1,0),"ERROR")</f>
        <v>1855</v>
      </c>
      <c r="J51" s="224">
        <f t="shared" si="1"/>
        <v>0.68882287411808396</v>
      </c>
      <c r="K51" s="226">
        <f>IFERROR(VLOOKUP($B51,MMWR_TRAD_AGG_RO_COMP[],K$1,0),"ERROR")</f>
        <v>1818</v>
      </c>
      <c r="L51" s="227">
        <f>IFERROR(VLOOKUP($B51,MMWR_TRAD_AGG_RO_COMP[],L$1,0),"ERROR")</f>
        <v>1687</v>
      </c>
      <c r="M51" s="224">
        <f t="shared" si="2"/>
        <v>0.92794279427942794</v>
      </c>
      <c r="N51" s="226">
        <f>IFERROR(VLOOKUP($B51,MMWR_TRAD_AGG_RO_COMP[],N$1,0),"ERROR")</f>
        <v>382</v>
      </c>
      <c r="O51" s="227">
        <f>IFERROR(VLOOKUP($B51,MMWR_TRAD_AGG_RO_COMP[],O$1,0),"ERROR")</f>
        <v>146</v>
      </c>
      <c r="P51" s="224">
        <f t="shared" si="3"/>
        <v>0.38219895287958117</v>
      </c>
      <c r="Q51" s="228">
        <f>IFERROR(VLOOKUP($B51,MMWR_TRAD_AGG_RO_COMP[],Q$1,0),"ERROR")</f>
        <v>0</v>
      </c>
      <c r="R51" s="228">
        <f>IFERROR(VLOOKUP($B51,MMWR_TRAD_AGG_RO_COMP[],R$1,0),"ERROR")</f>
        <v>2</v>
      </c>
      <c r="S51" s="202">
        <f>IFERROR(VLOOKUP($B51,MMWR_APP_RO[],S$1,0),"ERROR")</f>
        <v>210</v>
      </c>
      <c r="T51" s="28"/>
    </row>
    <row r="52" spans="1:20" x14ac:dyDescent="0.2">
      <c r="A52" s="28"/>
      <c r="B52" s="108" t="s">
        <v>37</v>
      </c>
      <c r="C52" s="220">
        <f>IFERROR(VLOOKUP($B52,MMWR_TRAD_AGG_RO_COMP[],C$1,0),"ERROR")</f>
        <v>219</v>
      </c>
      <c r="D52" s="221">
        <f>IFERROR(VLOOKUP($B52,MMWR_TRAD_AGG_RO_COMP[],D$1,0),"ERROR")</f>
        <v>60.913242009100003</v>
      </c>
      <c r="E52" s="222">
        <f>IFERROR(VLOOKUP($B52,MMWR_TRAD_AGG_RO_COMP[],E$1,0),"ERROR")</f>
        <v>1267</v>
      </c>
      <c r="F52" s="223">
        <f>IFERROR(VLOOKUP($B52,MMWR_TRAD_AGG_RO_COMP[],F$1,0),"ERROR")</f>
        <v>243</v>
      </c>
      <c r="G52" s="224">
        <f t="shared" si="0"/>
        <v>0.19179163378058406</v>
      </c>
      <c r="H52" s="225">
        <f>IFERROR(VLOOKUP($B52,MMWR_TRAD_AGG_RO_COMP[],H$1,0),"ERROR")</f>
        <v>386</v>
      </c>
      <c r="I52" s="223">
        <f>IFERROR(VLOOKUP($B52,MMWR_TRAD_AGG_RO_COMP[],I$1,0),"ERROR")</f>
        <v>49</v>
      </c>
      <c r="J52" s="224">
        <f t="shared" si="1"/>
        <v>0.12694300518134716</v>
      </c>
      <c r="K52" s="226">
        <f>IFERROR(VLOOKUP($B52,MMWR_TRAD_AGG_RO_COMP[],K$1,0),"ERROR")</f>
        <v>239</v>
      </c>
      <c r="L52" s="227">
        <f>IFERROR(VLOOKUP($B52,MMWR_TRAD_AGG_RO_COMP[],L$1,0),"ERROR")</f>
        <v>15</v>
      </c>
      <c r="M52" s="224">
        <f t="shared" si="2"/>
        <v>6.2761506276150625E-2</v>
      </c>
      <c r="N52" s="226">
        <f>IFERROR(VLOOKUP($B52,MMWR_TRAD_AGG_RO_COMP[],N$1,0),"ERROR")</f>
        <v>106</v>
      </c>
      <c r="O52" s="227">
        <f>IFERROR(VLOOKUP($B52,MMWR_TRAD_AGG_RO_COMP[],O$1,0),"ERROR")</f>
        <v>49</v>
      </c>
      <c r="P52" s="224">
        <f t="shared" si="3"/>
        <v>0.46226415094339623</v>
      </c>
      <c r="Q52" s="228">
        <f>IFERROR(VLOOKUP($B52,MMWR_TRAD_AGG_RO_COMP[],Q$1,0),"ERROR")</f>
        <v>0</v>
      </c>
      <c r="R52" s="228">
        <f>IFERROR(VLOOKUP($B52,MMWR_TRAD_AGG_RO_COMP[],R$1,0),"ERROR")</f>
        <v>4</v>
      </c>
      <c r="S52" s="202">
        <f>IFERROR(VLOOKUP($B52,MMWR_APP_RO[],S$1,0),"ERROR")</f>
        <v>924</v>
      </c>
      <c r="T52" s="28"/>
    </row>
    <row r="53" spans="1:20" x14ac:dyDescent="0.2">
      <c r="A53" s="28"/>
      <c r="B53" s="108" t="s">
        <v>48</v>
      </c>
      <c r="C53" s="220">
        <f>IFERROR(VLOOKUP($B53,MMWR_TRAD_AGG_RO_COMP[],C$1,0),"ERROR")</f>
        <v>1706</v>
      </c>
      <c r="D53" s="221">
        <f>IFERROR(VLOOKUP($B53,MMWR_TRAD_AGG_RO_COMP[],D$1,0),"ERROR")</f>
        <v>264.61371629540002</v>
      </c>
      <c r="E53" s="222">
        <f>IFERROR(VLOOKUP($B53,MMWR_TRAD_AGG_RO_COMP[],E$1,0),"ERROR")</f>
        <v>2057</v>
      </c>
      <c r="F53" s="223">
        <f>IFERROR(VLOOKUP($B53,MMWR_TRAD_AGG_RO_COMP[],F$1,0),"ERROR")</f>
        <v>485</v>
      </c>
      <c r="G53" s="224">
        <f t="shared" si="0"/>
        <v>0.23578026251823042</v>
      </c>
      <c r="H53" s="225">
        <f>IFERROR(VLOOKUP($B53,MMWR_TRAD_AGG_RO_COMP[],H$1,0),"ERROR")</f>
        <v>2172</v>
      </c>
      <c r="I53" s="223">
        <f>IFERROR(VLOOKUP($B53,MMWR_TRAD_AGG_RO_COMP[],I$1,0),"ERROR")</f>
        <v>1480</v>
      </c>
      <c r="J53" s="224">
        <f t="shared" si="1"/>
        <v>0.68139963167587481</v>
      </c>
      <c r="K53" s="226">
        <f>IFERROR(VLOOKUP($B53,MMWR_TRAD_AGG_RO_COMP[],K$1,0),"ERROR")</f>
        <v>485</v>
      </c>
      <c r="L53" s="227">
        <f>IFERROR(VLOOKUP($B53,MMWR_TRAD_AGG_RO_COMP[],L$1,0),"ERROR")</f>
        <v>300</v>
      </c>
      <c r="M53" s="224">
        <f t="shared" si="2"/>
        <v>0.61855670103092786</v>
      </c>
      <c r="N53" s="226">
        <f>IFERROR(VLOOKUP($B53,MMWR_TRAD_AGG_RO_COMP[],N$1,0),"ERROR")</f>
        <v>106</v>
      </c>
      <c r="O53" s="227">
        <f>IFERROR(VLOOKUP($B53,MMWR_TRAD_AGG_RO_COMP[],O$1,0),"ERROR")</f>
        <v>65</v>
      </c>
      <c r="P53" s="224">
        <f t="shared" si="3"/>
        <v>0.6132075471698113</v>
      </c>
      <c r="Q53" s="228">
        <f>IFERROR(VLOOKUP($B53,MMWR_TRAD_AGG_RO_COMP[],Q$1,0),"ERROR")</f>
        <v>0</v>
      </c>
      <c r="R53" s="228">
        <f>IFERROR(VLOOKUP($B53,MMWR_TRAD_AGG_RO_COMP[],R$1,0),"ERROR")</f>
        <v>0</v>
      </c>
      <c r="S53" s="202">
        <f>IFERROR(VLOOKUP($B53,MMWR_APP_RO[],S$1,0),"ERROR")</f>
        <v>1394</v>
      </c>
      <c r="T53" s="28"/>
    </row>
    <row r="54" spans="1:20" x14ac:dyDescent="0.2">
      <c r="A54" s="28"/>
      <c r="B54" s="108" t="s">
        <v>55</v>
      </c>
      <c r="C54" s="220">
        <f>IFERROR(VLOOKUP($B54,MMWR_TRAD_AGG_RO_COMP[],C$1,0),"ERROR")</f>
        <v>7761</v>
      </c>
      <c r="D54" s="221">
        <f>IFERROR(VLOOKUP($B54,MMWR_TRAD_AGG_RO_COMP[],D$1,0),"ERROR")</f>
        <v>367.28836490139997</v>
      </c>
      <c r="E54" s="222">
        <f>IFERROR(VLOOKUP($B54,MMWR_TRAD_AGG_RO_COMP[],E$1,0),"ERROR")</f>
        <v>9078</v>
      </c>
      <c r="F54" s="223">
        <f>IFERROR(VLOOKUP($B54,MMWR_TRAD_AGG_RO_COMP[],F$1,0),"ERROR")</f>
        <v>1956</v>
      </c>
      <c r="G54" s="224">
        <f t="shared" si="0"/>
        <v>0.21546596166556511</v>
      </c>
      <c r="H54" s="225">
        <f>IFERROR(VLOOKUP($B54,MMWR_TRAD_AGG_RO_COMP[],H$1,0),"ERROR")</f>
        <v>9297</v>
      </c>
      <c r="I54" s="223">
        <f>IFERROR(VLOOKUP($B54,MMWR_TRAD_AGG_RO_COMP[],I$1,0),"ERROR")</f>
        <v>6042</v>
      </c>
      <c r="J54" s="224">
        <f t="shared" si="1"/>
        <v>0.6498870603420458</v>
      </c>
      <c r="K54" s="226">
        <f>IFERROR(VLOOKUP($B54,MMWR_TRAD_AGG_RO_COMP[],K$1,0),"ERROR")</f>
        <v>1149</v>
      </c>
      <c r="L54" s="227">
        <f>IFERROR(VLOOKUP($B54,MMWR_TRAD_AGG_RO_COMP[],L$1,0),"ERROR")</f>
        <v>731</v>
      </c>
      <c r="M54" s="224">
        <f t="shared" si="2"/>
        <v>0.63620539599651871</v>
      </c>
      <c r="N54" s="226">
        <f>IFERROR(VLOOKUP($B54,MMWR_TRAD_AGG_RO_COMP[],N$1,0),"ERROR")</f>
        <v>4106</v>
      </c>
      <c r="O54" s="227">
        <f>IFERROR(VLOOKUP($B54,MMWR_TRAD_AGG_RO_COMP[],O$1,0),"ERROR")</f>
        <v>3338</v>
      </c>
      <c r="P54" s="224">
        <f t="shared" si="3"/>
        <v>0.81295664880662444</v>
      </c>
      <c r="Q54" s="228">
        <f>IFERROR(VLOOKUP($B54,MMWR_TRAD_AGG_RO_COMP[],Q$1,0),"ERROR")</f>
        <v>2</v>
      </c>
      <c r="R54" s="228">
        <f>IFERROR(VLOOKUP($B54,MMWR_TRAD_AGG_RO_COMP[],R$1,0),"ERROR")</f>
        <v>29</v>
      </c>
      <c r="S54" s="202">
        <f>IFERROR(VLOOKUP($B54,MMWR_APP_RO[],S$1,0),"ERROR")</f>
        <v>4770</v>
      </c>
      <c r="T54" s="28"/>
    </row>
    <row r="55" spans="1:20" x14ac:dyDescent="0.2">
      <c r="A55" s="28"/>
      <c r="B55" s="108" t="s">
        <v>58</v>
      </c>
      <c r="C55" s="220">
        <f>IFERROR(VLOOKUP($B55,MMWR_TRAD_AGG_RO_COMP[],C$1,0),"ERROR")</f>
        <v>857</v>
      </c>
      <c r="D55" s="221">
        <f>IFERROR(VLOOKUP($B55,MMWR_TRAD_AGG_RO_COMP[],D$1,0),"ERROR")</f>
        <v>173.71061843640001</v>
      </c>
      <c r="E55" s="222">
        <f>IFERROR(VLOOKUP($B55,MMWR_TRAD_AGG_RO_COMP[],E$1,0),"ERROR")</f>
        <v>832</v>
      </c>
      <c r="F55" s="223">
        <f>IFERROR(VLOOKUP($B55,MMWR_TRAD_AGG_RO_COMP[],F$1,0),"ERROR")</f>
        <v>191</v>
      </c>
      <c r="G55" s="224">
        <f t="shared" si="0"/>
        <v>0.22956730769230768</v>
      </c>
      <c r="H55" s="225">
        <f>IFERROR(VLOOKUP($B55,MMWR_TRAD_AGG_RO_COMP[],H$1,0),"ERROR")</f>
        <v>971</v>
      </c>
      <c r="I55" s="223">
        <f>IFERROR(VLOOKUP($B55,MMWR_TRAD_AGG_RO_COMP[],I$1,0),"ERROR")</f>
        <v>486</v>
      </c>
      <c r="J55" s="224">
        <f t="shared" si="1"/>
        <v>0.50051493305870232</v>
      </c>
      <c r="K55" s="226">
        <f>IFERROR(VLOOKUP($B55,MMWR_TRAD_AGG_RO_COMP[],K$1,0),"ERROR")</f>
        <v>231</v>
      </c>
      <c r="L55" s="227">
        <f>IFERROR(VLOOKUP($B55,MMWR_TRAD_AGG_RO_COMP[],L$1,0),"ERROR")</f>
        <v>70</v>
      </c>
      <c r="M55" s="224">
        <f t="shared" si="2"/>
        <v>0.30303030303030304</v>
      </c>
      <c r="N55" s="226">
        <f>IFERROR(VLOOKUP($B55,MMWR_TRAD_AGG_RO_COMP[],N$1,0),"ERROR")</f>
        <v>824</v>
      </c>
      <c r="O55" s="227">
        <f>IFERROR(VLOOKUP($B55,MMWR_TRAD_AGG_RO_COMP[],O$1,0),"ERROR")</f>
        <v>437</v>
      </c>
      <c r="P55" s="224">
        <f t="shared" si="3"/>
        <v>0.53033980582524276</v>
      </c>
      <c r="Q55" s="228">
        <f>IFERROR(VLOOKUP($B55,MMWR_TRAD_AGG_RO_COMP[],Q$1,0),"ERROR")</f>
        <v>338</v>
      </c>
      <c r="R55" s="228">
        <f>IFERROR(VLOOKUP($B55,MMWR_TRAD_AGG_RO_COMP[],R$1,0),"ERROR")</f>
        <v>134</v>
      </c>
      <c r="S55" s="202">
        <f>IFERROR(VLOOKUP($B55,MMWR_APP_RO[],S$1,0),"ERROR")</f>
        <v>963</v>
      </c>
      <c r="T55" s="28"/>
    </row>
    <row r="56" spans="1:20" x14ac:dyDescent="0.2">
      <c r="A56" s="28"/>
      <c r="B56" s="108" t="s">
        <v>65</v>
      </c>
      <c r="C56" s="220">
        <f>IFERROR(VLOOKUP($B56,MMWR_TRAD_AGG_RO_COMP[],C$1,0),"ERROR")</f>
        <v>8753</v>
      </c>
      <c r="D56" s="221">
        <f>IFERROR(VLOOKUP($B56,MMWR_TRAD_AGG_RO_COMP[],D$1,0),"ERROR")</f>
        <v>398.11344681819998</v>
      </c>
      <c r="E56" s="222">
        <f>IFERROR(VLOOKUP($B56,MMWR_TRAD_AGG_RO_COMP[],E$1,0),"ERROR")</f>
        <v>11217</v>
      </c>
      <c r="F56" s="223">
        <f>IFERROR(VLOOKUP($B56,MMWR_TRAD_AGG_RO_COMP[],F$1,0),"ERROR")</f>
        <v>2418</v>
      </c>
      <c r="G56" s="224">
        <f t="shared" si="0"/>
        <v>0.21556565926718374</v>
      </c>
      <c r="H56" s="225">
        <f>IFERROR(VLOOKUP($B56,MMWR_TRAD_AGG_RO_COMP[],H$1,0),"ERROR")</f>
        <v>11805</v>
      </c>
      <c r="I56" s="223">
        <f>IFERROR(VLOOKUP($B56,MMWR_TRAD_AGG_RO_COMP[],I$1,0),"ERROR")</f>
        <v>9055</v>
      </c>
      <c r="J56" s="224">
        <f t="shared" si="1"/>
        <v>0.76704786107581535</v>
      </c>
      <c r="K56" s="226">
        <f>IFERROR(VLOOKUP($B56,MMWR_TRAD_AGG_RO_COMP[],K$1,0),"ERROR")</f>
        <v>4545</v>
      </c>
      <c r="L56" s="227">
        <f>IFERROR(VLOOKUP($B56,MMWR_TRAD_AGG_RO_COMP[],L$1,0),"ERROR")</f>
        <v>3965</v>
      </c>
      <c r="M56" s="224">
        <f t="shared" si="2"/>
        <v>0.87238723872387236</v>
      </c>
      <c r="N56" s="226">
        <f>IFERROR(VLOOKUP($B56,MMWR_TRAD_AGG_RO_COMP[],N$1,0),"ERROR")</f>
        <v>2024</v>
      </c>
      <c r="O56" s="227">
        <f>IFERROR(VLOOKUP($B56,MMWR_TRAD_AGG_RO_COMP[],O$1,0),"ERROR")</f>
        <v>1629</v>
      </c>
      <c r="P56" s="224">
        <f t="shared" si="3"/>
        <v>0.80484189723320154</v>
      </c>
      <c r="Q56" s="228">
        <f>IFERROR(VLOOKUP($B56,MMWR_TRAD_AGG_RO_COMP[],Q$1,0),"ERROR")</f>
        <v>0</v>
      </c>
      <c r="R56" s="228">
        <f>IFERROR(VLOOKUP($B56,MMWR_TRAD_AGG_RO_COMP[],R$1,0),"ERROR")</f>
        <v>30</v>
      </c>
      <c r="S56" s="202">
        <f>IFERROR(VLOOKUP($B56,MMWR_APP_RO[],S$1,0),"ERROR")</f>
        <v>8667</v>
      </c>
      <c r="T56" s="28"/>
    </row>
    <row r="57" spans="1:20" x14ac:dyDescent="0.2">
      <c r="A57" s="28"/>
      <c r="B57" s="108" t="s">
        <v>67</v>
      </c>
      <c r="C57" s="220">
        <f>IFERROR(VLOOKUP($B57,MMWR_TRAD_AGG_RO_COMP[],C$1,0),"ERROR")</f>
        <v>4589</v>
      </c>
      <c r="D57" s="221">
        <f>IFERROR(VLOOKUP($B57,MMWR_TRAD_AGG_RO_COMP[],D$1,0),"ERROR")</f>
        <v>261.85530616689999</v>
      </c>
      <c r="E57" s="222">
        <f>IFERROR(VLOOKUP($B57,MMWR_TRAD_AGG_RO_COMP[],E$1,0),"ERROR")</f>
        <v>3982</v>
      </c>
      <c r="F57" s="223">
        <f>IFERROR(VLOOKUP($B57,MMWR_TRAD_AGG_RO_COMP[],F$1,0),"ERROR")</f>
        <v>969</v>
      </c>
      <c r="G57" s="224">
        <f t="shared" si="0"/>
        <v>0.24334505273731794</v>
      </c>
      <c r="H57" s="225">
        <f>IFERROR(VLOOKUP($B57,MMWR_TRAD_AGG_RO_COMP[],H$1,0),"ERROR")</f>
        <v>5771</v>
      </c>
      <c r="I57" s="223">
        <f>IFERROR(VLOOKUP($B57,MMWR_TRAD_AGG_RO_COMP[],I$1,0),"ERROR")</f>
        <v>3297</v>
      </c>
      <c r="J57" s="224">
        <f t="shared" si="1"/>
        <v>0.57130479986137583</v>
      </c>
      <c r="K57" s="226">
        <f>IFERROR(VLOOKUP($B57,MMWR_TRAD_AGG_RO_COMP[],K$1,0),"ERROR")</f>
        <v>965</v>
      </c>
      <c r="L57" s="227">
        <f>IFERROR(VLOOKUP($B57,MMWR_TRAD_AGG_RO_COMP[],L$1,0),"ERROR")</f>
        <v>212</v>
      </c>
      <c r="M57" s="224">
        <f t="shared" si="2"/>
        <v>0.21968911917098446</v>
      </c>
      <c r="N57" s="226">
        <f>IFERROR(VLOOKUP($B57,MMWR_TRAD_AGG_RO_COMP[],N$1,0),"ERROR")</f>
        <v>2233</v>
      </c>
      <c r="O57" s="227">
        <f>IFERROR(VLOOKUP($B57,MMWR_TRAD_AGG_RO_COMP[],O$1,0),"ERROR")</f>
        <v>1970</v>
      </c>
      <c r="P57" s="224">
        <f t="shared" si="3"/>
        <v>0.88222122704881323</v>
      </c>
      <c r="Q57" s="228">
        <f>IFERROR(VLOOKUP($B57,MMWR_TRAD_AGG_RO_COMP[],Q$1,0),"ERROR")</f>
        <v>1</v>
      </c>
      <c r="R57" s="228">
        <f>IFERROR(VLOOKUP($B57,MMWR_TRAD_AGG_RO_COMP[],R$1,0),"ERROR")</f>
        <v>67</v>
      </c>
      <c r="S57" s="202">
        <f>IFERROR(VLOOKUP($B57,MMWR_APP_RO[],S$1,0),"ERROR")</f>
        <v>7136</v>
      </c>
      <c r="T57" s="28"/>
    </row>
    <row r="58" spans="1:20" x14ac:dyDescent="0.2">
      <c r="A58" s="28"/>
      <c r="B58" s="108" t="s">
        <v>69</v>
      </c>
      <c r="C58" s="220">
        <f>IFERROR(VLOOKUP($B58,MMWR_TRAD_AGG_RO_COMP[],C$1,0),"ERROR")</f>
        <v>7784</v>
      </c>
      <c r="D58" s="221">
        <f>IFERROR(VLOOKUP($B58,MMWR_TRAD_AGG_RO_COMP[],D$1,0),"ERROR")</f>
        <v>407.40788797530001</v>
      </c>
      <c r="E58" s="222">
        <f>IFERROR(VLOOKUP($B58,MMWR_TRAD_AGG_RO_COMP[],E$1,0),"ERROR")</f>
        <v>4526</v>
      </c>
      <c r="F58" s="223">
        <f>IFERROR(VLOOKUP($B58,MMWR_TRAD_AGG_RO_COMP[],F$1,0),"ERROR")</f>
        <v>1183</v>
      </c>
      <c r="G58" s="224">
        <f t="shared" si="0"/>
        <v>0.26137870083959347</v>
      </c>
      <c r="H58" s="225">
        <f>IFERROR(VLOOKUP($B58,MMWR_TRAD_AGG_RO_COMP[],H$1,0),"ERROR")</f>
        <v>9649</v>
      </c>
      <c r="I58" s="223">
        <f>IFERROR(VLOOKUP($B58,MMWR_TRAD_AGG_RO_COMP[],I$1,0),"ERROR")</f>
        <v>7154</v>
      </c>
      <c r="J58" s="224">
        <f t="shared" si="1"/>
        <v>0.74142398175976787</v>
      </c>
      <c r="K58" s="226">
        <f>IFERROR(VLOOKUP($B58,MMWR_TRAD_AGG_RO_COMP[],K$1,0),"ERROR")</f>
        <v>3464</v>
      </c>
      <c r="L58" s="227">
        <f>IFERROR(VLOOKUP($B58,MMWR_TRAD_AGG_RO_COMP[],L$1,0),"ERROR")</f>
        <v>2833</v>
      </c>
      <c r="M58" s="224">
        <f t="shared" si="2"/>
        <v>0.81784064665127021</v>
      </c>
      <c r="N58" s="226">
        <f>IFERROR(VLOOKUP($B58,MMWR_TRAD_AGG_RO_COMP[],N$1,0),"ERROR")</f>
        <v>1751</v>
      </c>
      <c r="O58" s="227">
        <f>IFERROR(VLOOKUP($B58,MMWR_TRAD_AGG_RO_COMP[],O$1,0),"ERROR")</f>
        <v>958</v>
      </c>
      <c r="P58" s="224">
        <f t="shared" si="3"/>
        <v>0.54711593375214163</v>
      </c>
      <c r="Q58" s="228">
        <f>IFERROR(VLOOKUP($B58,MMWR_TRAD_AGG_RO_COMP[],Q$1,0),"ERROR")</f>
        <v>0</v>
      </c>
      <c r="R58" s="228">
        <f>IFERROR(VLOOKUP($B58,MMWR_TRAD_AGG_RO_COMP[],R$1,0),"ERROR")</f>
        <v>72</v>
      </c>
      <c r="S58" s="202">
        <f>IFERROR(VLOOKUP($B58,MMWR_APP_RO[],S$1,0),"ERROR")</f>
        <v>5501</v>
      </c>
      <c r="T58" s="28"/>
    </row>
    <row r="59" spans="1:20" x14ac:dyDescent="0.2">
      <c r="A59" s="28"/>
      <c r="B59" s="108" t="s">
        <v>71</v>
      </c>
      <c r="C59" s="220">
        <f>IFERROR(VLOOKUP($B59,MMWR_TRAD_AGG_RO_COMP[],C$1,0),"ERROR")</f>
        <v>3238</v>
      </c>
      <c r="D59" s="221">
        <f>IFERROR(VLOOKUP($B59,MMWR_TRAD_AGG_RO_COMP[],D$1,0),"ERROR")</f>
        <v>476.3372452131</v>
      </c>
      <c r="E59" s="222">
        <f>IFERROR(VLOOKUP($B59,MMWR_TRAD_AGG_RO_COMP[],E$1,0),"ERROR")</f>
        <v>3464</v>
      </c>
      <c r="F59" s="223">
        <f>IFERROR(VLOOKUP($B59,MMWR_TRAD_AGG_RO_COMP[],F$1,0),"ERROR")</f>
        <v>726</v>
      </c>
      <c r="G59" s="224">
        <f t="shared" si="0"/>
        <v>0.20958429561200922</v>
      </c>
      <c r="H59" s="225">
        <f>IFERROR(VLOOKUP($B59,MMWR_TRAD_AGG_RO_COMP[],H$1,0),"ERROR")</f>
        <v>3702</v>
      </c>
      <c r="I59" s="223">
        <f>IFERROR(VLOOKUP($B59,MMWR_TRAD_AGG_RO_COMP[],I$1,0),"ERROR")</f>
        <v>2684</v>
      </c>
      <c r="J59" s="224">
        <f t="shared" si="1"/>
        <v>0.72501350621285787</v>
      </c>
      <c r="K59" s="226">
        <f>IFERROR(VLOOKUP($B59,MMWR_TRAD_AGG_RO_COMP[],K$1,0),"ERROR")</f>
        <v>408</v>
      </c>
      <c r="L59" s="227">
        <f>IFERROR(VLOOKUP($B59,MMWR_TRAD_AGG_RO_COMP[],L$1,0),"ERROR")</f>
        <v>287</v>
      </c>
      <c r="M59" s="224">
        <f t="shared" si="2"/>
        <v>0.70343137254901966</v>
      </c>
      <c r="N59" s="226">
        <f>IFERROR(VLOOKUP($B59,MMWR_TRAD_AGG_RO_COMP[],N$1,0),"ERROR")</f>
        <v>1021</v>
      </c>
      <c r="O59" s="227">
        <f>IFERROR(VLOOKUP($B59,MMWR_TRAD_AGG_RO_COMP[],O$1,0),"ERROR")</f>
        <v>749</v>
      </c>
      <c r="P59" s="224">
        <f t="shared" si="3"/>
        <v>0.73359451518119489</v>
      </c>
      <c r="Q59" s="228">
        <f>IFERROR(VLOOKUP($B59,MMWR_TRAD_AGG_RO_COMP[],Q$1,0),"ERROR")</f>
        <v>0</v>
      </c>
      <c r="R59" s="228">
        <f>IFERROR(VLOOKUP($B59,MMWR_TRAD_AGG_RO_COMP[],R$1,0),"ERROR")</f>
        <v>113</v>
      </c>
      <c r="S59" s="202">
        <f>IFERROR(VLOOKUP($B59,MMWR_APP_RO[],S$1,0),"ERROR")</f>
        <v>3039</v>
      </c>
      <c r="T59" s="28"/>
    </row>
    <row r="60" spans="1:20" x14ac:dyDescent="0.2">
      <c r="A60" s="28"/>
      <c r="B60" s="108" t="s">
        <v>74</v>
      </c>
      <c r="C60" s="220">
        <f>IFERROR(VLOOKUP($B60,MMWR_TRAD_AGG_RO_COMP[],C$1,0),"ERROR")</f>
        <v>7126</v>
      </c>
      <c r="D60" s="221">
        <f>IFERROR(VLOOKUP($B60,MMWR_TRAD_AGG_RO_COMP[],D$1,0),"ERROR")</f>
        <v>337.9275891103</v>
      </c>
      <c r="E60" s="222">
        <f>IFERROR(VLOOKUP($B60,MMWR_TRAD_AGG_RO_COMP[],E$1,0),"ERROR")</f>
        <v>12310</v>
      </c>
      <c r="F60" s="223">
        <f>IFERROR(VLOOKUP($B60,MMWR_TRAD_AGG_RO_COMP[],F$1,0),"ERROR")</f>
        <v>1848</v>
      </c>
      <c r="G60" s="224">
        <f t="shared" si="0"/>
        <v>0.15012185215272136</v>
      </c>
      <c r="H60" s="225">
        <f>IFERROR(VLOOKUP($B60,MMWR_TRAD_AGG_RO_COMP[],H$1,0),"ERROR")</f>
        <v>17291</v>
      </c>
      <c r="I60" s="223">
        <f>IFERROR(VLOOKUP($B60,MMWR_TRAD_AGG_RO_COMP[],I$1,0),"ERROR")</f>
        <v>8739</v>
      </c>
      <c r="J60" s="224">
        <f t="shared" si="1"/>
        <v>0.50540743739517668</v>
      </c>
      <c r="K60" s="226">
        <f>IFERROR(VLOOKUP($B60,MMWR_TRAD_AGG_RO_COMP[],K$1,0),"ERROR")</f>
        <v>3890</v>
      </c>
      <c r="L60" s="227">
        <f>IFERROR(VLOOKUP($B60,MMWR_TRAD_AGG_RO_COMP[],L$1,0),"ERROR")</f>
        <v>1665</v>
      </c>
      <c r="M60" s="224">
        <f t="shared" si="2"/>
        <v>0.42802056555269924</v>
      </c>
      <c r="N60" s="226">
        <f>IFERROR(VLOOKUP($B60,MMWR_TRAD_AGG_RO_COMP[],N$1,0),"ERROR")</f>
        <v>2174</v>
      </c>
      <c r="O60" s="227">
        <f>IFERROR(VLOOKUP($B60,MMWR_TRAD_AGG_RO_COMP[],O$1,0),"ERROR")</f>
        <v>1535</v>
      </c>
      <c r="P60" s="224">
        <f t="shared" si="3"/>
        <v>0.70607175712971482</v>
      </c>
      <c r="Q60" s="228">
        <f>IFERROR(VLOOKUP($B60,MMWR_TRAD_AGG_RO_COMP[],Q$1,0),"ERROR")</f>
        <v>0</v>
      </c>
      <c r="R60" s="228">
        <f>IFERROR(VLOOKUP($B60,MMWR_TRAD_AGG_RO_COMP[],R$1,0),"ERROR")</f>
        <v>59</v>
      </c>
      <c r="S60" s="202">
        <f>IFERROR(VLOOKUP($B60,MMWR_APP_RO[],S$1,0),"ERROR")</f>
        <v>4324</v>
      </c>
      <c r="T60" s="28"/>
    </row>
    <row r="61" spans="1:20" x14ac:dyDescent="0.2">
      <c r="A61" s="28"/>
      <c r="B61" s="116" t="s">
        <v>76</v>
      </c>
      <c r="C61" s="229">
        <f>IFERROR(VLOOKUP($B61,MMWR_TRAD_AGG_RO_COMP[],C$1,0),"ERROR")</f>
        <v>12200</v>
      </c>
      <c r="D61" s="230">
        <f>IFERROR(VLOOKUP($B61,MMWR_TRAD_AGG_RO_COMP[],D$1,0),"ERROR")</f>
        <v>395.50975409839998</v>
      </c>
      <c r="E61" s="231">
        <f>IFERROR(VLOOKUP($B61,MMWR_TRAD_AGG_RO_COMP[],E$1,0),"ERROR")</f>
        <v>7383</v>
      </c>
      <c r="F61" s="232">
        <f>IFERROR(VLOOKUP($B61,MMWR_TRAD_AGG_RO_COMP[],F$1,0),"ERROR")</f>
        <v>1247</v>
      </c>
      <c r="G61" s="233">
        <f t="shared" si="0"/>
        <v>0.16890153054313964</v>
      </c>
      <c r="H61" s="234">
        <f>IFERROR(VLOOKUP($B61,MMWR_TRAD_AGG_RO_COMP[],H$1,0),"ERROR")</f>
        <v>17287</v>
      </c>
      <c r="I61" s="232">
        <f>IFERROR(VLOOKUP($B61,MMWR_TRAD_AGG_RO_COMP[],I$1,0),"ERROR")</f>
        <v>12310</v>
      </c>
      <c r="J61" s="233">
        <f t="shared" si="1"/>
        <v>0.71209579452767979</v>
      </c>
      <c r="K61" s="235">
        <f>IFERROR(VLOOKUP($B61,MMWR_TRAD_AGG_RO_COMP[],K$1,0),"ERROR")</f>
        <v>4961</v>
      </c>
      <c r="L61" s="236">
        <f>IFERROR(VLOOKUP($B61,MMWR_TRAD_AGG_RO_COMP[],L$1,0),"ERROR")</f>
        <v>3380</v>
      </c>
      <c r="M61" s="233">
        <f t="shared" si="2"/>
        <v>0.68131425115904054</v>
      </c>
      <c r="N61" s="235">
        <f>IFERROR(VLOOKUP($B61,MMWR_TRAD_AGG_RO_COMP[],N$1,0),"ERROR")</f>
        <v>4191</v>
      </c>
      <c r="O61" s="236">
        <f>IFERROR(VLOOKUP($B61,MMWR_TRAD_AGG_RO_COMP[],O$1,0),"ERROR")</f>
        <v>3685</v>
      </c>
      <c r="P61" s="233">
        <f t="shared" si="3"/>
        <v>0.87926509186351709</v>
      </c>
      <c r="Q61" s="237">
        <f>IFERROR(VLOOKUP($B61,MMWR_TRAD_AGG_RO_COMP[],Q$1,0),"ERROR")</f>
        <v>2</v>
      </c>
      <c r="R61" s="237">
        <f>IFERROR(VLOOKUP($B61,MMWR_TRAD_AGG_RO_COMP[],R$1,0),"ERROR")</f>
        <v>144</v>
      </c>
      <c r="S61" s="202">
        <f>IFERROR(VLOOKUP($B61,MMWR_APP_RO[],S$1,0),"ERROR")</f>
        <v>5134</v>
      </c>
      <c r="T61" s="28"/>
    </row>
    <row r="62" spans="1:20" x14ac:dyDescent="0.2">
      <c r="A62" s="28"/>
      <c r="B62" s="101" t="s">
        <v>387</v>
      </c>
      <c r="C62" s="213">
        <f>IFERROR(VLOOKUP($B62,MMWR_TRAD_AGG_DISTRICT_COMP[],C$1,0),"ERROR")</f>
        <v>68025</v>
      </c>
      <c r="D62" s="198">
        <f>IFERROR(VLOOKUP($B62,MMWR_TRAD_AGG_DISTRICT_COMP[],D$1,0),"ERROR")</f>
        <v>344.0871738331</v>
      </c>
      <c r="E62" s="214">
        <f>IFERROR(VLOOKUP($B62,MMWR_TRAD_AGG_DISTRICT_COMP[],E$1,0),"ERROR")</f>
        <v>73121</v>
      </c>
      <c r="F62" s="219">
        <f>IFERROR(VLOOKUP($B62,MMWR_TRAD_AGG_DISTRICT_COMP[],F$1,0),"ERROR")</f>
        <v>17461</v>
      </c>
      <c r="G62" s="215">
        <f t="shared" si="0"/>
        <v>0.23879596832647257</v>
      </c>
      <c r="H62" s="219">
        <f>IFERROR(VLOOKUP($B62,MMWR_TRAD_AGG_DISTRICT_COMP[],H$1,0),"ERROR")</f>
        <v>96949</v>
      </c>
      <c r="I62" s="219">
        <f>IFERROR(VLOOKUP($B62,MMWR_TRAD_AGG_DISTRICT_COMP[],I$1,0),"ERROR")</f>
        <v>63957</v>
      </c>
      <c r="J62" s="215">
        <f t="shared" si="1"/>
        <v>0.65969736665669576</v>
      </c>
      <c r="K62" s="213">
        <f>IFERROR(VLOOKUP($B62,MMWR_TRAD_AGG_DISTRICT_COMP[],K$1,0),"ERROR")</f>
        <v>23328</v>
      </c>
      <c r="L62" s="213">
        <f>IFERROR(VLOOKUP($B62,MMWR_TRAD_AGG_DISTRICT_COMP[],L$1,0),"ERROR")</f>
        <v>16242</v>
      </c>
      <c r="M62" s="215">
        <f t="shared" si="2"/>
        <v>0.69624485596707819</v>
      </c>
      <c r="N62" s="213">
        <f>IFERROR(VLOOKUP($B62,MMWR_TRAD_AGG_DISTRICT_COMP[],N$1,0),"ERROR")</f>
        <v>27612</v>
      </c>
      <c r="O62" s="213">
        <f>IFERROR(VLOOKUP($B62,MMWR_TRAD_AGG_DISTRICT_COMP[],O$1,0),"ERROR")</f>
        <v>18312</v>
      </c>
      <c r="P62" s="215">
        <f t="shared" si="3"/>
        <v>0.66318991742720557</v>
      </c>
      <c r="Q62" s="213">
        <f>IFERROR(VLOOKUP($B62,MMWR_TRAD_AGG_DISTRICT_COMP[],Q$1,0),"ERROR")</f>
        <v>141</v>
      </c>
      <c r="R62" s="216">
        <f>IFERROR(VLOOKUP($B62,MMWR_TRAD_AGG_DISTRICT_COMP[],R$1,0),"ERROR")</f>
        <v>1141</v>
      </c>
      <c r="S62" s="216">
        <f>IFERROR(VLOOKUP($B62,MMWR_APP_RO[],S$1,0),"ERROR")</f>
        <v>87546</v>
      </c>
      <c r="T62" s="28"/>
    </row>
    <row r="63" spans="1:20" x14ac:dyDescent="0.2">
      <c r="A63" s="28"/>
      <c r="B63" s="108" t="s">
        <v>25</v>
      </c>
      <c r="C63" s="220">
        <f>IFERROR(VLOOKUP($B63,MMWR_TRAD_AGG_RO_COMP[],C$1,0),"ERROR")</f>
        <v>13626</v>
      </c>
      <c r="D63" s="221">
        <f>IFERROR(VLOOKUP($B63,MMWR_TRAD_AGG_RO_COMP[],D$1,0),"ERROR")</f>
        <v>350.11911052400001</v>
      </c>
      <c r="E63" s="222">
        <f>IFERROR(VLOOKUP($B63,MMWR_TRAD_AGG_RO_COMP[],E$1,0),"ERROR")</f>
        <v>17489</v>
      </c>
      <c r="F63" s="223">
        <f>IFERROR(VLOOKUP($B63,MMWR_TRAD_AGG_RO_COMP[],F$1,0),"ERROR")</f>
        <v>4282</v>
      </c>
      <c r="G63" s="224">
        <f t="shared" si="0"/>
        <v>0.24483961347132482</v>
      </c>
      <c r="H63" s="225">
        <f>IFERROR(VLOOKUP($B63,MMWR_TRAD_AGG_RO_COMP[],H$1,0),"ERROR")</f>
        <v>19180</v>
      </c>
      <c r="I63" s="223">
        <f>IFERROR(VLOOKUP($B63,MMWR_TRAD_AGG_RO_COMP[],I$1,0),"ERROR")</f>
        <v>13527</v>
      </c>
      <c r="J63" s="224">
        <f t="shared" si="1"/>
        <v>0.7052659019812304</v>
      </c>
      <c r="K63" s="226">
        <f>IFERROR(VLOOKUP($B63,MMWR_TRAD_AGG_RO_COMP[],K$1,0),"ERROR")</f>
        <v>5689</v>
      </c>
      <c r="L63" s="227">
        <f>IFERROR(VLOOKUP($B63,MMWR_TRAD_AGG_RO_COMP[],L$1,0),"ERROR")</f>
        <v>3977</v>
      </c>
      <c r="M63" s="224">
        <f t="shared" si="2"/>
        <v>0.69906837757075058</v>
      </c>
      <c r="N63" s="226">
        <f>IFERROR(VLOOKUP($B63,MMWR_TRAD_AGG_RO_COMP[],N$1,0),"ERROR")</f>
        <v>10712</v>
      </c>
      <c r="O63" s="227">
        <f>IFERROR(VLOOKUP($B63,MMWR_TRAD_AGG_RO_COMP[],O$1,0),"ERROR")</f>
        <v>7707</v>
      </c>
      <c r="P63" s="224">
        <f t="shared" si="3"/>
        <v>0.71947348767737118</v>
      </c>
      <c r="Q63" s="228">
        <f>IFERROR(VLOOKUP($B63,MMWR_TRAD_AGG_RO_COMP[],Q$1,0),"ERROR")</f>
        <v>62</v>
      </c>
      <c r="R63" s="228">
        <f>IFERROR(VLOOKUP($B63,MMWR_TRAD_AGG_RO_COMP[],R$1,0),"ERROR")</f>
        <v>5</v>
      </c>
      <c r="S63" s="202">
        <f>IFERROR(VLOOKUP($B63,MMWR_APP_RO[],S$1,0),"ERROR")</f>
        <v>17331</v>
      </c>
      <c r="T63" s="28"/>
    </row>
    <row r="64" spans="1:20" x14ac:dyDescent="0.2">
      <c r="A64" s="28"/>
      <c r="B64" s="108" t="s">
        <v>42</v>
      </c>
      <c r="C64" s="220">
        <f>IFERROR(VLOOKUP($B64,MMWR_TRAD_AGG_RO_COMP[],C$1,0),"ERROR")</f>
        <v>10491</v>
      </c>
      <c r="D64" s="221">
        <f>IFERROR(VLOOKUP($B64,MMWR_TRAD_AGG_RO_COMP[],D$1,0),"ERROR")</f>
        <v>294.90372700410001</v>
      </c>
      <c r="E64" s="222">
        <f>IFERROR(VLOOKUP($B64,MMWR_TRAD_AGG_RO_COMP[],E$1,0),"ERROR")</f>
        <v>8857</v>
      </c>
      <c r="F64" s="223">
        <f>IFERROR(VLOOKUP($B64,MMWR_TRAD_AGG_RO_COMP[],F$1,0),"ERROR")</f>
        <v>2419</v>
      </c>
      <c r="G64" s="224">
        <f t="shared" si="0"/>
        <v>0.27311730834368297</v>
      </c>
      <c r="H64" s="225">
        <f>IFERROR(VLOOKUP($B64,MMWR_TRAD_AGG_RO_COMP[],H$1,0),"ERROR")</f>
        <v>19428</v>
      </c>
      <c r="I64" s="223">
        <f>IFERROR(VLOOKUP($B64,MMWR_TRAD_AGG_RO_COMP[],I$1,0),"ERROR")</f>
        <v>12327</v>
      </c>
      <c r="J64" s="224">
        <f t="shared" si="1"/>
        <v>0.63449660284126008</v>
      </c>
      <c r="K64" s="226">
        <f>IFERROR(VLOOKUP($B64,MMWR_TRAD_AGG_RO_COMP[],K$1,0),"ERROR")</f>
        <v>2911</v>
      </c>
      <c r="L64" s="227">
        <f>IFERROR(VLOOKUP($B64,MMWR_TRAD_AGG_RO_COMP[],L$1,0),"ERROR")</f>
        <v>2004</v>
      </c>
      <c r="M64" s="224">
        <f t="shared" si="2"/>
        <v>0.68842322226039165</v>
      </c>
      <c r="N64" s="226">
        <f>IFERROR(VLOOKUP($B64,MMWR_TRAD_AGG_RO_COMP[],N$1,0),"ERROR")</f>
        <v>1364</v>
      </c>
      <c r="O64" s="227">
        <f>IFERROR(VLOOKUP($B64,MMWR_TRAD_AGG_RO_COMP[],O$1,0),"ERROR")</f>
        <v>925</v>
      </c>
      <c r="P64" s="224">
        <f t="shared" si="3"/>
        <v>0.67815249266862165</v>
      </c>
      <c r="Q64" s="228">
        <f>IFERROR(VLOOKUP($B64,MMWR_TRAD_AGG_RO_COMP[],Q$1,0),"ERROR")</f>
        <v>1</v>
      </c>
      <c r="R64" s="228">
        <f>IFERROR(VLOOKUP($B64,MMWR_TRAD_AGG_RO_COMP[],R$1,0),"ERROR")</f>
        <v>53</v>
      </c>
      <c r="S64" s="202">
        <f>IFERROR(VLOOKUP($B64,MMWR_APP_RO[],S$1,0),"ERROR")</f>
        <v>12728</v>
      </c>
      <c r="T64" s="28"/>
    </row>
    <row r="65" spans="1:20" x14ac:dyDescent="0.2">
      <c r="A65" s="28"/>
      <c r="B65" s="108" t="s">
        <v>56</v>
      </c>
      <c r="C65" s="220">
        <f>IFERROR(VLOOKUP($B65,MMWR_TRAD_AGG_RO_COMP[],C$1,0),"ERROR")</f>
        <v>7740</v>
      </c>
      <c r="D65" s="221">
        <f>IFERROR(VLOOKUP($B65,MMWR_TRAD_AGG_RO_COMP[],D$1,0),"ERROR")</f>
        <v>498.78514211890001</v>
      </c>
      <c r="E65" s="222">
        <f>IFERROR(VLOOKUP($B65,MMWR_TRAD_AGG_RO_COMP[],E$1,0),"ERROR")</f>
        <v>4250</v>
      </c>
      <c r="F65" s="223">
        <f>IFERROR(VLOOKUP($B65,MMWR_TRAD_AGG_RO_COMP[],F$1,0),"ERROR")</f>
        <v>1111</v>
      </c>
      <c r="G65" s="224">
        <f t="shared" si="0"/>
        <v>0.26141176470588234</v>
      </c>
      <c r="H65" s="225">
        <f>IFERROR(VLOOKUP($B65,MMWR_TRAD_AGG_RO_COMP[],H$1,0),"ERROR")</f>
        <v>12515</v>
      </c>
      <c r="I65" s="223">
        <f>IFERROR(VLOOKUP($B65,MMWR_TRAD_AGG_RO_COMP[],I$1,0),"ERROR")</f>
        <v>8050</v>
      </c>
      <c r="J65" s="224">
        <f t="shared" si="1"/>
        <v>0.64322812624850179</v>
      </c>
      <c r="K65" s="226">
        <f>IFERROR(VLOOKUP($B65,MMWR_TRAD_AGG_RO_COMP[],K$1,0),"ERROR")</f>
        <v>2963</v>
      </c>
      <c r="L65" s="227">
        <f>IFERROR(VLOOKUP($B65,MMWR_TRAD_AGG_RO_COMP[],L$1,0),"ERROR")</f>
        <v>2526</v>
      </c>
      <c r="M65" s="224">
        <f t="shared" si="2"/>
        <v>0.85251434357070532</v>
      </c>
      <c r="N65" s="226">
        <f>IFERROR(VLOOKUP($B65,MMWR_TRAD_AGG_RO_COMP[],N$1,0),"ERROR")</f>
        <v>794</v>
      </c>
      <c r="O65" s="227">
        <f>IFERROR(VLOOKUP($B65,MMWR_TRAD_AGG_RO_COMP[],O$1,0),"ERROR")</f>
        <v>373</v>
      </c>
      <c r="P65" s="224">
        <f t="shared" si="3"/>
        <v>0.46977329974811083</v>
      </c>
      <c r="Q65" s="228">
        <f>IFERROR(VLOOKUP($B65,MMWR_TRAD_AGG_RO_COMP[],Q$1,0),"ERROR")</f>
        <v>67</v>
      </c>
      <c r="R65" s="228">
        <f>IFERROR(VLOOKUP($B65,MMWR_TRAD_AGG_RO_COMP[],R$1,0),"ERROR")</f>
        <v>239</v>
      </c>
      <c r="S65" s="202">
        <f>IFERROR(VLOOKUP($B65,MMWR_APP_RO[],S$1,0),"ERROR")</f>
        <v>4844</v>
      </c>
      <c r="T65" s="28"/>
    </row>
    <row r="66" spans="1:20" x14ac:dyDescent="0.2">
      <c r="A66" s="28"/>
      <c r="B66" s="108" t="s">
        <v>60</v>
      </c>
      <c r="C66" s="220">
        <f>IFERROR(VLOOKUP($B66,MMWR_TRAD_AGG_RO_COMP[],C$1,0),"ERROR")</f>
        <v>12592</v>
      </c>
      <c r="D66" s="221">
        <f>IFERROR(VLOOKUP($B66,MMWR_TRAD_AGG_RO_COMP[],D$1,0),"ERROR")</f>
        <v>369.80638500639998</v>
      </c>
      <c r="E66" s="222">
        <f>IFERROR(VLOOKUP($B66,MMWR_TRAD_AGG_RO_COMP[],E$1,0),"ERROR")</f>
        <v>7435</v>
      </c>
      <c r="F66" s="223">
        <f>IFERROR(VLOOKUP($B66,MMWR_TRAD_AGG_RO_COMP[],F$1,0),"ERROR")</f>
        <v>1245</v>
      </c>
      <c r="G66" s="224">
        <f t="shared" si="0"/>
        <v>0.16745124411566914</v>
      </c>
      <c r="H66" s="225">
        <f>IFERROR(VLOOKUP($B66,MMWR_TRAD_AGG_RO_COMP[],H$1,0),"ERROR")</f>
        <v>14086</v>
      </c>
      <c r="I66" s="223">
        <f>IFERROR(VLOOKUP($B66,MMWR_TRAD_AGG_RO_COMP[],I$1,0),"ERROR")</f>
        <v>10252</v>
      </c>
      <c r="J66" s="224">
        <f t="shared" si="1"/>
        <v>0.72781485162572768</v>
      </c>
      <c r="K66" s="226">
        <f>IFERROR(VLOOKUP($B66,MMWR_TRAD_AGG_RO_COMP[],K$1,0),"ERROR")</f>
        <v>4594</v>
      </c>
      <c r="L66" s="227">
        <f>IFERROR(VLOOKUP($B66,MMWR_TRAD_AGG_RO_COMP[],L$1,0),"ERROR")</f>
        <v>3700</v>
      </c>
      <c r="M66" s="224">
        <f t="shared" si="2"/>
        <v>0.80539834566826296</v>
      </c>
      <c r="N66" s="226">
        <f>IFERROR(VLOOKUP($B66,MMWR_TRAD_AGG_RO_COMP[],N$1,0),"ERROR")</f>
        <v>1750</v>
      </c>
      <c r="O66" s="227">
        <f>IFERROR(VLOOKUP($B66,MMWR_TRAD_AGG_RO_COMP[],O$1,0),"ERROR")</f>
        <v>1296</v>
      </c>
      <c r="P66" s="224">
        <f t="shared" si="3"/>
        <v>0.74057142857142855</v>
      </c>
      <c r="Q66" s="228">
        <f>IFERROR(VLOOKUP($B66,MMWR_TRAD_AGG_RO_COMP[],Q$1,0),"ERROR")</f>
        <v>0</v>
      </c>
      <c r="R66" s="228">
        <f>IFERROR(VLOOKUP($B66,MMWR_TRAD_AGG_RO_COMP[],R$1,0),"ERROR")</f>
        <v>352</v>
      </c>
      <c r="S66" s="202">
        <f>IFERROR(VLOOKUP($B66,MMWR_APP_RO[],S$1,0),"ERROR")</f>
        <v>10270</v>
      </c>
      <c r="T66" s="28"/>
    </row>
    <row r="67" spans="1:20" x14ac:dyDescent="0.2">
      <c r="A67" s="28"/>
      <c r="B67" s="108" t="s">
        <v>61</v>
      </c>
      <c r="C67" s="220">
        <f>IFERROR(VLOOKUP($B67,MMWR_TRAD_AGG_RO_COMP[],C$1,0),"ERROR")</f>
        <v>4956</v>
      </c>
      <c r="D67" s="221">
        <f>IFERROR(VLOOKUP($B67,MMWR_TRAD_AGG_RO_COMP[],D$1,0),"ERROR")</f>
        <v>234.32203389829999</v>
      </c>
      <c r="E67" s="222">
        <f>IFERROR(VLOOKUP($B67,MMWR_TRAD_AGG_RO_COMP[],E$1,0),"ERROR")</f>
        <v>9768</v>
      </c>
      <c r="F67" s="223">
        <f>IFERROR(VLOOKUP($B67,MMWR_TRAD_AGG_RO_COMP[],F$1,0),"ERROR")</f>
        <v>1969</v>
      </c>
      <c r="G67" s="224">
        <f t="shared" si="0"/>
        <v>0.20157657657657657</v>
      </c>
      <c r="H67" s="225">
        <f>IFERROR(VLOOKUP($B67,MMWR_TRAD_AGG_RO_COMP[],H$1,0),"ERROR")</f>
        <v>8448</v>
      </c>
      <c r="I67" s="223">
        <f>IFERROR(VLOOKUP($B67,MMWR_TRAD_AGG_RO_COMP[],I$1,0),"ERROR")</f>
        <v>4185</v>
      </c>
      <c r="J67" s="224">
        <f t="shared" si="1"/>
        <v>0.49538352272727271</v>
      </c>
      <c r="K67" s="226">
        <f>IFERROR(VLOOKUP($B67,MMWR_TRAD_AGG_RO_COMP[],K$1,0),"ERROR")</f>
        <v>2564</v>
      </c>
      <c r="L67" s="227">
        <f>IFERROR(VLOOKUP($B67,MMWR_TRAD_AGG_RO_COMP[],L$1,0),"ERROR")</f>
        <v>1678</v>
      </c>
      <c r="M67" s="224">
        <f t="shared" si="2"/>
        <v>0.6544461778471139</v>
      </c>
      <c r="N67" s="226">
        <f>IFERROR(VLOOKUP($B67,MMWR_TRAD_AGG_RO_COMP[],N$1,0),"ERROR")</f>
        <v>1384</v>
      </c>
      <c r="O67" s="227">
        <f>IFERROR(VLOOKUP($B67,MMWR_TRAD_AGG_RO_COMP[],O$1,0),"ERROR")</f>
        <v>1055</v>
      </c>
      <c r="P67" s="224">
        <f t="shared" si="3"/>
        <v>0.76228323699421963</v>
      </c>
      <c r="Q67" s="228">
        <f>IFERROR(VLOOKUP($B67,MMWR_TRAD_AGG_RO_COMP[],Q$1,0),"ERROR")</f>
        <v>2</v>
      </c>
      <c r="R67" s="228">
        <f>IFERROR(VLOOKUP($B67,MMWR_TRAD_AGG_RO_COMP[],R$1,0),"ERROR")</f>
        <v>244</v>
      </c>
      <c r="S67" s="202">
        <f>IFERROR(VLOOKUP($B67,MMWR_APP_RO[],S$1,0),"ERROR")</f>
        <v>6488</v>
      </c>
      <c r="T67" s="28"/>
    </row>
    <row r="68" spans="1:20" x14ac:dyDescent="0.2">
      <c r="A68" s="28"/>
      <c r="B68" s="108" t="s">
        <v>75</v>
      </c>
      <c r="C68" s="220">
        <f>IFERROR(VLOOKUP($B68,MMWR_TRAD_AGG_RO_COMP[],C$1,0),"ERROR")</f>
        <v>2771</v>
      </c>
      <c r="D68" s="221">
        <f>IFERROR(VLOOKUP($B68,MMWR_TRAD_AGG_RO_COMP[],D$1,0),"ERROR")</f>
        <v>421.92349332369997</v>
      </c>
      <c r="E68" s="222">
        <f>IFERROR(VLOOKUP($B68,MMWR_TRAD_AGG_RO_COMP[],E$1,0),"ERROR")</f>
        <v>3400</v>
      </c>
      <c r="F68" s="223">
        <f>IFERROR(VLOOKUP($B68,MMWR_TRAD_AGG_RO_COMP[],F$1,0),"ERROR")</f>
        <v>849</v>
      </c>
      <c r="G68" s="224">
        <f t="shared" si="0"/>
        <v>0.24970588235294117</v>
      </c>
      <c r="H68" s="225">
        <f>IFERROR(VLOOKUP($B68,MMWR_TRAD_AGG_RO_COMP[],H$1,0),"ERROR")</f>
        <v>4034</v>
      </c>
      <c r="I68" s="223">
        <f>IFERROR(VLOOKUP($B68,MMWR_TRAD_AGG_RO_COMP[],I$1,0),"ERROR")</f>
        <v>3262</v>
      </c>
      <c r="J68" s="224">
        <f t="shared" si="1"/>
        <v>0.80862667327714433</v>
      </c>
      <c r="K68" s="226">
        <f>IFERROR(VLOOKUP($B68,MMWR_TRAD_AGG_RO_COMP[],K$1,0),"ERROR")</f>
        <v>809</v>
      </c>
      <c r="L68" s="227">
        <f>IFERROR(VLOOKUP($B68,MMWR_TRAD_AGG_RO_COMP[],L$1,0),"ERROR")</f>
        <v>608</v>
      </c>
      <c r="M68" s="224">
        <f t="shared" si="2"/>
        <v>0.7515451174289246</v>
      </c>
      <c r="N68" s="226">
        <f>IFERROR(VLOOKUP($B68,MMWR_TRAD_AGG_RO_COMP[],N$1,0),"ERROR")</f>
        <v>896</v>
      </c>
      <c r="O68" s="227">
        <f>IFERROR(VLOOKUP($B68,MMWR_TRAD_AGG_RO_COMP[],O$1,0),"ERROR")</f>
        <v>696</v>
      </c>
      <c r="P68" s="224">
        <f t="shared" si="3"/>
        <v>0.7767857142857143</v>
      </c>
      <c r="Q68" s="228">
        <f>IFERROR(VLOOKUP($B68,MMWR_TRAD_AGG_RO_COMP[],Q$1,0),"ERROR")</f>
        <v>0</v>
      </c>
      <c r="R68" s="228">
        <f>IFERROR(VLOOKUP($B68,MMWR_TRAD_AGG_RO_COMP[],R$1,0),"ERROR")</f>
        <v>2</v>
      </c>
      <c r="S68" s="202">
        <f>IFERROR(VLOOKUP($B68,MMWR_APP_RO[],S$1,0),"ERROR")</f>
        <v>6149</v>
      </c>
      <c r="T68" s="28"/>
    </row>
    <row r="69" spans="1:20" x14ac:dyDescent="0.2">
      <c r="A69" s="28"/>
      <c r="B69" s="116" t="s">
        <v>80</v>
      </c>
      <c r="C69" s="229">
        <f>IFERROR(VLOOKUP($B69,MMWR_TRAD_AGG_RO_COMP[],C$1,0),"ERROR")</f>
        <v>15849</v>
      </c>
      <c r="D69" s="230">
        <f>IFERROR(VLOOKUP($B69,MMWR_TRAD_AGG_RO_COMP[],D$1,0),"ERROR")</f>
        <v>296.19048520410001</v>
      </c>
      <c r="E69" s="231">
        <f>IFERROR(VLOOKUP($B69,MMWR_TRAD_AGG_RO_COMP[],E$1,0),"ERROR")</f>
        <v>21922</v>
      </c>
      <c r="F69" s="232">
        <f>IFERROR(VLOOKUP($B69,MMWR_TRAD_AGG_RO_COMP[],F$1,0),"ERROR")</f>
        <v>5586</v>
      </c>
      <c r="G69" s="233">
        <f t="shared" si="0"/>
        <v>0.25481251710610348</v>
      </c>
      <c r="H69" s="234">
        <f>IFERROR(VLOOKUP($B69,MMWR_TRAD_AGG_RO_COMP[],H$1,0),"ERROR")</f>
        <v>19258</v>
      </c>
      <c r="I69" s="232">
        <f>IFERROR(VLOOKUP($B69,MMWR_TRAD_AGG_RO_COMP[],I$1,0),"ERROR")</f>
        <v>12354</v>
      </c>
      <c r="J69" s="233">
        <f t="shared" si="1"/>
        <v>0.64149963651469522</v>
      </c>
      <c r="K69" s="235">
        <f>IFERROR(VLOOKUP($B69,MMWR_TRAD_AGG_RO_COMP[],K$1,0),"ERROR")</f>
        <v>3798</v>
      </c>
      <c r="L69" s="236">
        <f>IFERROR(VLOOKUP($B69,MMWR_TRAD_AGG_RO_COMP[],L$1,0),"ERROR")</f>
        <v>1749</v>
      </c>
      <c r="M69" s="233">
        <f t="shared" si="2"/>
        <v>0.46050552922590837</v>
      </c>
      <c r="N69" s="235">
        <f>IFERROR(VLOOKUP($B69,MMWR_TRAD_AGG_RO_COMP[],N$1,0),"ERROR")</f>
        <v>10712</v>
      </c>
      <c r="O69" s="236">
        <f>IFERROR(VLOOKUP($B69,MMWR_TRAD_AGG_RO_COMP[],O$1,0),"ERROR")</f>
        <v>6260</v>
      </c>
      <c r="P69" s="233">
        <f t="shared" si="3"/>
        <v>0.58439133681852129</v>
      </c>
      <c r="Q69" s="237">
        <f>IFERROR(VLOOKUP($B69,MMWR_TRAD_AGG_RO_COMP[],Q$1,0),"ERROR")</f>
        <v>9</v>
      </c>
      <c r="R69" s="237">
        <f>IFERROR(VLOOKUP($B69,MMWR_TRAD_AGG_RO_COMP[],R$1,0),"ERROR")</f>
        <v>246</v>
      </c>
      <c r="S69" s="202">
        <f>IFERROR(VLOOKUP($B69,MMWR_APP_RO[],S$1,0),"ERROR")</f>
        <v>29736</v>
      </c>
      <c r="T69" s="28"/>
    </row>
    <row r="70" spans="1:20" x14ac:dyDescent="0.2">
      <c r="A70" s="28"/>
      <c r="B70" s="101" t="s">
        <v>8</v>
      </c>
      <c r="C70" s="213">
        <f>IFERROR(VLOOKUP($B70,MMWR_TRAD_AGG_RO_COMP[],C$1,0),"ERROR")</f>
        <v>53</v>
      </c>
      <c r="D70" s="198">
        <f>IFERROR(VLOOKUP($B70,MMWR_TRAD_AGG_RO_COMP[],D$1,0),"ERROR")</f>
        <v>882.22641509430002</v>
      </c>
      <c r="E70" s="214">
        <f>IFERROR(VLOOKUP($B70,MMWR_TRAD_AGG_RO_COMP[],E$1,0),"ERROR")</f>
        <v>7</v>
      </c>
      <c r="F70" s="219">
        <f>IFERROR(VLOOKUP($B70,MMWR_TRAD_AGG_RO_COMP[],F$1,0),"ERROR")</f>
        <v>0</v>
      </c>
      <c r="G70" s="215">
        <f>IFERROR(F70/E70,"0%")</f>
        <v>0</v>
      </c>
      <c r="H70" s="219">
        <f>IFERROR(VLOOKUP($B70,MMWR_TRAD_AGG_RO_COMP[],H$1,0),"ERROR")</f>
        <v>56</v>
      </c>
      <c r="I70" s="219">
        <f>IFERROR(VLOOKUP($B70,MMWR_TRAD_AGG_RO_COMP[],I$1,0),"ERROR")</f>
        <v>52</v>
      </c>
      <c r="J70" s="215">
        <f>IFERROR(I70/H70,"0%")</f>
        <v>0.9285714285714286</v>
      </c>
      <c r="K70" s="213">
        <f>IFERROR(VLOOKUP($B70,MMWR_TRAD_AGG_RO_COMP[],K$1,0),"ERROR")</f>
        <v>2</v>
      </c>
      <c r="L70" s="213">
        <f>IFERROR(VLOOKUP($B70,MMWR_TRAD_AGG_RO_COMP[],L$1,0),"ERROR")</f>
        <v>1</v>
      </c>
      <c r="M70" s="215">
        <f>IFERROR(L70/K70,"0%")</f>
        <v>0.5</v>
      </c>
      <c r="N70" s="213">
        <f>IFERROR(VLOOKUP($B70,MMWR_TRAD_AGG_RO_COMP[],N$1,0),"ERROR")</f>
        <v>35915</v>
      </c>
      <c r="O70" s="213">
        <f>IFERROR(VLOOKUP($B70,MMWR_TRAD_AGG_RO_COMP[],O$1,0),"ERROR")</f>
        <v>11845</v>
      </c>
      <c r="P70" s="215">
        <f>IFERROR(O70/N70,"0%")</f>
        <v>0.32980648754002506</v>
      </c>
      <c r="Q70" s="213">
        <f>IFERROR(VLOOKUP($B70,MMWR_TRAD_AGG_RO_COMP[],Q$1,0),"ERROR")</f>
        <v>0</v>
      </c>
      <c r="R70" s="216">
        <f>IFERROR(VLOOKUP($B70,MMWR_TRAD_AGG_RO_COMP[],R$1,0),"ERROR")</f>
        <v>1</v>
      </c>
      <c r="S70" s="216">
        <f>IFERROR(VLOOKUP($B70,MMWR_APP_RO[],S$1,0),"ERROR")</f>
        <v>10916</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4" t="s">
        <v>494</v>
      </c>
      <c r="D72" s="455"/>
      <c r="E72" s="455"/>
      <c r="F72" s="455"/>
      <c r="G72" s="455"/>
      <c r="H72" s="455"/>
      <c r="I72" s="455"/>
      <c r="J72" s="455"/>
      <c r="K72" s="455"/>
      <c r="L72" s="455"/>
      <c r="M72" s="455"/>
      <c r="N72" s="455"/>
      <c r="O72" s="455"/>
      <c r="P72" s="455"/>
      <c r="Q72" s="455"/>
      <c r="R72" s="455"/>
      <c r="S72" s="456"/>
      <c r="T72" s="28"/>
    </row>
    <row r="73" spans="1:20" x14ac:dyDescent="0.2">
      <c r="A73" s="25"/>
      <c r="B73" s="117"/>
      <c r="C73" s="457" t="s">
        <v>231</v>
      </c>
      <c r="D73" s="458"/>
      <c r="E73" s="459" t="s">
        <v>211</v>
      </c>
      <c r="F73" s="460"/>
      <c r="G73" s="461"/>
      <c r="H73" s="459" t="s">
        <v>7</v>
      </c>
      <c r="I73" s="460"/>
      <c r="J73" s="461"/>
      <c r="K73" s="459" t="s">
        <v>33</v>
      </c>
      <c r="L73" s="460"/>
      <c r="M73" s="461"/>
      <c r="N73" s="459" t="s">
        <v>8</v>
      </c>
      <c r="O73" s="460"/>
      <c r="P73" s="461"/>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8">
        <f>IFERROR(VLOOKUP($B75,MMWR_TRAD_AGG_RO_PEN[],C$1,0),"ERROR")</f>
        <v>18103</v>
      </c>
      <c r="D75" s="239">
        <f>IFERROR(VLOOKUP($B75,MMWR_TRAD_AGG_RO_PEN[],D$1,0),"ERROR")</f>
        <v>89.378335082600003</v>
      </c>
      <c r="E75" s="238">
        <f>IFERROR(VLOOKUP($B75,MMWR_TRAD_AGG_RO_PEN[],E$1,0),"ERROR")</f>
        <v>32932</v>
      </c>
      <c r="F75" s="238">
        <f>IFERROR(VLOOKUP($B75,MMWR_TRAD_AGG_RO_PEN[],F$1,0),"ERROR")</f>
        <v>4662</v>
      </c>
      <c r="G75" s="240">
        <f>IFERROR(F75/E75,"0%")</f>
        <v>0.14156443580711769</v>
      </c>
      <c r="H75" s="238">
        <f>IFERROR(VLOOKUP($B75,MMWR_TRAD_AGG_RO_PEN[],H$1,0),"ERROR")</f>
        <v>26946</v>
      </c>
      <c r="I75" s="238">
        <f>IFERROR(VLOOKUP($B75,MMWR_TRAD_AGG_RO_PEN[],I$1,0),"ERROR")</f>
        <v>6762</v>
      </c>
      <c r="J75" s="240">
        <f>IFERROR(I75/H75,"0%")</f>
        <v>0.25094633711868181</v>
      </c>
      <c r="K75" s="238">
        <f>IFERROR(VLOOKUP($B75,MMWR_TRAD_AGG_RO_PEN[],K$1,0),"ERROR")</f>
        <v>612</v>
      </c>
      <c r="L75" s="238">
        <f>IFERROR(VLOOKUP($B75,MMWR_TRAD_AGG_RO_PEN[],L$1,0),"ERROR")</f>
        <v>571</v>
      </c>
      <c r="M75" s="240">
        <f>IFERROR(L75/K75,"0%")</f>
        <v>0.93300653594771243</v>
      </c>
      <c r="N75" s="238">
        <f>IFERROR(VLOOKUP($B75,MMWR_TRAD_AGG_RO_PEN[],N$1,0),"ERROR")</f>
        <v>1906</v>
      </c>
      <c r="O75" s="238">
        <f>IFERROR(VLOOKUP($B75,MMWR_TRAD_AGG_RO_PEN[],O$1,0),"ERROR")</f>
        <v>591</v>
      </c>
      <c r="P75" s="240">
        <f>IFERROR(O75/N75,"0%")</f>
        <v>0.31007345225603355</v>
      </c>
      <c r="Q75" s="238">
        <f>IFERROR(VLOOKUP($B75,MMWR_TRAD_AGG_RO_PEN[],Q$1,0),"ERROR")</f>
        <v>9009</v>
      </c>
      <c r="R75" s="241">
        <f>IFERROR(VLOOKUP($B75,MMWR_TRAD_AGG_RO_PEN[],R$1,0),"ERROR")</f>
        <v>5744</v>
      </c>
      <c r="S75" s="241">
        <f>IFERROR(VLOOKUP($B75,MMWR_APP_RO[],S$1,0),"ERROR")</f>
        <v>7634</v>
      </c>
      <c r="T75" s="28"/>
    </row>
    <row r="76" spans="1:20" x14ac:dyDescent="0.2">
      <c r="A76" s="107"/>
      <c r="B76" s="122" t="s">
        <v>216</v>
      </c>
      <c r="C76" s="242">
        <f>IFERROR(VLOOKUP($B76,MMWR_TRAD_AGG_RO_PEN[],C$1,0),"ERROR")</f>
        <v>12983</v>
      </c>
      <c r="D76" s="243">
        <f>IFERROR(VLOOKUP($B76,MMWR_TRAD_AGG_RO_PEN[],D$1,0),"ERROR")</f>
        <v>105.9436956019</v>
      </c>
      <c r="E76" s="242">
        <f>IFERROR(VLOOKUP($B76,MMWR_TRAD_AGG_RO_PEN[],E$1,0),"ERROR")</f>
        <v>17655</v>
      </c>
      <c r="F76" s="242">
        <f>IFERROR(VLOOKUP($B76,MMWR_TRAD_AGG_RO_PEN[],F$1,0),"ERROR")</f>
        <v>3685</v>
      </c>
      <c r="G76" s="224">
        <f>IFERROR(F76/E76,"0%")</f>
        <v>0.2087227414330218</v>
      </c>
      <c r="H76" s="242">
        <f>IFERROR(VLOOKUP($B76,MMWR_TRAD_AGG_RO_PEN[],H$1,0),"ERROR")</f>
        <v>18011</v>
      </c>
      <c r="I76" s="242">
        <f>IFERROR(VLOOKUP($B76,MMWR_TRAD_AGG_RO_PEN[],I$1,0),"ERROR")</f>
        <v>6198</v>
      </c>
      <c r="J76" s="224">
        <f>IFERROR(I76/H76,"0%")</f>
        <v>0.34412303592249183</v>
      </c>
      <c r="K76" s="242">
        <f>IFERROR(VLOOKUP($B76,MMWR_TRAD_AGG_RO_PEN[],K$1,0),"ERROR")</f>
        <v>358</v>
      </c>
      <c r="L76" s="242">
        <f>IFERROR(VLOOKUP($B76,MMWR_TRAD_AGG_RO_PEN[],L$1,0),"ERROR")</f>
        <v>346</v>
      </c>
      <c r="M76" s="224">
        <f>IFERROR(L76/K76,"0%")</f>
        <v>0.96648044692737434</v>
      </c>
      <c r="N76" s="242">
        <f>IFERROR(VLOOKUP($B76,MMWR_TRAD_AGG_RO_PEN[],N$1,0),"ERROR")</f>
        <v>1101</v>
      </c>
      <c r="O76" s="242">
        <f>IFERROR(VLOOKUP($B76,MMWR_TRAD_AGG_RO_PEN[],O$1,0),"ERROR")</f>
        <v>340</v>
      </c>
      <c r="P76" s="224">
        <f>IFERROR(O76/N76,"0%")</f>
        <v>0.30881017257039056</v>
      </c>
      <c r="Q76" s="242">
        <f>IFERROR(VLOOKUP($B76,MMWR_TRAD_AGG_RO_PEN[],Q$1,0),"ERROR")</f>
        <v>2174</v>
      </c>
      <c r="R76" s="242">
        <f>IFERROR(VLOOKUP($B76,MMWR_TRAD_AGG_RO_PEN[],R$1,0),"ERROR")</f>
        <v>4245</v>
      </c>
      <c r="S76" s="244">
        <f>IFERROR(VLOOKUP($B76,MMWR_APP_RO[],S$1,0),"ERROR")</f>
        <v>2877</v>
      </c>
      <c r="T76" s="28"/>
    </row>
    <row r="77" spans="1:20" x14ac:dyDescent="0.2">
      <c r="A77" s="107"/>
      <c r="B77" s="122" t="s">
        <v>215</v>
      </c>
      <c r="C77" s="242">
        <f>IFERROR(VLOOKUP($B77,MMWR_TRAD_AGG_RO_PEN[],C$1,0),"ERROR")</f>
        <v>2980</v>
      </c>
      <c r="D77" s="243">
        <f>IFERROR(VLOOKUP($B77,MMWR_TRAD_AGG_RO_PEN[],D$1,0),"ERROR")</f>
        <v>53.631879194600003</v>
      </c>
      <c r="E77" s="242">
        <f>IFERROR(VLOOKUP($B77,MMWR_TRAD_AGG_RO_PEN[],E$1,0),"ERROR")</f>
        <v>8329</v>
      </c>
      <c r="F77" s="242">
        <f>IFERROR(VLOOKUP($B77,MMWR_TRAD_AGG_RO_PEN[],F$1,0),"ERROR")</f>
        <v>656</v>
      </c>
      <c r="G77" s="224">
        <f>IFERROR(F77/E77,"0%")</f>
        <v>7.8760955696962426E-2</v>
      </c>
      <c r="H77" s="242">
        <f>IFERROR(VLOOKUP($B77,MMWR_TRAD_AGG_RO_PEN[],H$1,0),"ERROR")</f>
        <v>5056</v>
      </c>
      <c r="I77" s="242">
        <f>IFERROR(VLOOKUP($B77,MMWR_TRAD_AGG_RO_PEN[],I$1,0),"ERROR")</f>
        <v>220</v>
      </c>
      <c r="J77" s="224">
        <f>IFERROR(I77/H77,"0%")</f>
        <v>4.3512658227848104E-2</v>
      </c>
      <c r="K77" s="242">
        <f>IFERROR(VLOOKUP($B77,MMWR_TRAD_AGG_RO_PEN[],K$1,0),"ERROR")</f>
        <v>3</v>
      </c>
      <c r="L77" s="242">
        <f>IFERROR(VLOOKUP($B77,MMWR_TRAD_AGG_RO_PEN[],L$1,0),"ERROR")</f>
        <v>3</v>
      </c>
      <c r="M77" s="224">
        <f>IFERROR(L77/K77,"0%")</f>
        <v>1</v>
      </c>
      <c r="N77" s="242">
        <f>IFERROR(VLOOKUP($B77,MMWR_TRAD_AGG_RO_PEN[],N$1,0),"ERROR")</f>
        <v>459</v>
      </c>
      <c r="O77" s="242">
        <f>IFERROR(VLOOKUP($B77,MMWR_TRAD_AGG_RO_PEN[],O$1,0),"ERROR")</f>
        <v>67</v>
      </c>
      <c r="P77" s="224">
        <f>IFERROR(O77/N77,"0%")</f>
        <v>0.14596949891067537</v>
      </c>
      <c r="Q77" s="242">
        <f>IFERROR(VLOOKUP($B77,MMWR_TRAD_AGG_RO_PEN[],Q$1,0),"ERROR")</f>
        <v>1006</v>
      </c>
      <c r="R77" s="242">
        <f>IFERROR(VLOOKUP($B77,MMWR_TRAD_AGG_RO_PEN[],R$1,0),"ERROR")</f>
        <v>773</v>
      </c>
      <c r="S77" s="244">
        <f>IFERROR(VLOOKUP($B77,MMWR_APP_RO[],S$1,0),"ERROR")</f>
        <v>2791</v>
      </c>
      <c r="T77" s="28"/>
    </row>
    <row r="78" spans="1:20" x14ac:dyDescent="0.2">
      <c r="A78" s="107"/>
      <c r="B78" s="122" t="s">
        <v>218</v>
      </c>
      <c r="C78" s="242">
        <f>IFERROR(VLOOKUP($B78,MMWR_TRAD_AGG_RO_PEN[],C$1,0),"ERROR")</f>
        <v>2140</v>
      </c>
      <c r="D78" s="243">
        <f>IFERROR(VLOOKUP($B78,MMWR_TRAD_AGG_RO_PEN[],D$1,0),"ERROR")</f>
        <v>38.657009345799999</v>
      </c>
      <c r="E78" s="242">
        <f>IFERROR(VLOOKUP($B78,MMWR_TRAD_AGG_RO_PEN[],E$1,0),"ERROR")</f>
        <v>6711</v>
      </c>
      <c r="F78" s="242">
        <f>IFERROR(VLOOKUP($B78,MMWR_TRAD_AGG_RO_PEN[],F$1,0),"ERROR")</f>
        <v>220</v>
      </c>
      <c r="G78" s="224">
        <f>IFERROR(F78/E78,"0%")</f>
        <v>3.2781999701981819E-2</v>
      </c>
      <c r="H78" s="242">
        <f>IFERROR(VLOOKUP($B78,MMWR_TRAD_AGG_RO_PEN[],H$1,0),"ERROR")</f>
        <v>3423</v>
      </c>
      <c r="I78" s="242">
        <f>IFERROR(VLOOKUP($B78,MMWR_TRAD_AGG_RO_PEN[],I$1,0),"ERROR")</f>
        <v>25</v>
      </c>
      <c r="J78" s="224">
        <f>IFERROR(I78/H78,"0%")</f>
        <v>7.303534910896874E-3</v>
      </c>
      <c r="K78" s="242">
        <f>IFERROR(VLOOKUP($B78,MMWR_TRAD_AGG_RO_PEN[],K$1,0),"ERROR")</f>
        <v>27</v>
      </c>
      <c r="L78" s="242">
        <f>IFERROR(VLOOKUP($B78,MMWR_TRAD_AGG_RO_PEN[],L$1,0),"ERROR")</f>
        <v>3</v>
      </c>
      <c r="M78" s="224">
        <f>IFERROR(L78/K78,"0%")</f>
        <v>0.1111111111111111</v>
      </c>
      <c r="N78" s="242">
        <f>IFERROR(VLOOKUP($B78,MMWR_TRAD_AGG_RO_PEN[],N$1,0),"ERROR")</f>
        <v>142</v>
      </c>
      <c r="O78" s="242">
        <f>IFERROR(VLOOKUP($B78,MMWR_TRAD_AGG_RO_PEN[],O$1,0),"ERROR")</f>
        <v>28</v>
      </c>
      <c r="P78" s="224">
        <f>IFERROR(O78/N78,"0%")</f>
        <v>0.19718309859154928</v>
      </c>
      <c r="Q78" s="242">
        <f>IFERROR(VLOOKUP($B78,MMWR_TRAD_AGG_RO_PEN[],Q$1,0),"ERROR")</f>
        <v>5811</v>
      </c>
      <c r="R78" s="242">
        <f>IFERROR(VLOOKUP($B78,MMWR_TRAD_AGG_RO_PEN[],R$1,0),"ERROR")</f>
        <v>726</v>
      </c>
      <c r="S78" s="244">
        <f>IFERROR(VLOOKUP($B78,MMWR_APP_RO[],S$1,0),"ERROR")</f>
        <v>1966</v>
      </c>
      <c r="T78" s="28"/>
    </row>
    <row r="79" spans="1:20" x14ac:dyDescent="0.2">
      <c r="A79" s="92"/>
      <c r="B79" s="101" t="s">
        <v>230</v>
      </c>
      <c r="C79" s="219">
        <f>IFERROR(VLOOKUP($B79,MMWR_TRAD_AGG_RO_PEN[],C$1,0),"ERROR")</f>
        <v>0</v>
      </c>
      <c r="D79" s="190">
        <f>IFERROR(VLOOKUP($B79,MMWR_TRAD_AGG_RO_PEN[],D$1,0),"ERROR")</f>
        <v>0</v>
      </c>
      <c r="E79" s="219">
        <f>IFERROR(VLOOKUP($B79,MMWR_TRAD_AGG_RO_PEN[],E$1,0),"ERROR")</f>
        <v>237</v>
      </c>
      <c r="F79" s="219">
        <f>IFERROR(VLOOKUP($B79,MMWR_TRAD_AGG_RO_PEN[],F$1,0),"ERROR")</f>
        <v>101</v>
      </c>
      <c r="G79" s="215">
        <f>IFERROR(F79/E79,"0%")</f>
        <v>0.42616033755274263</v>
      </c>
      <c r="H79" s="219">
        <f>IFERROR(VLOOKUP($B79,MMWR_TRAD_AGG_RO_PEN[],H$1,0),"ERROR")</f>
        <v>456</v>
      </c>
      <c r="I79" s="219">
        <f>IFERROR(VLOOKUP($B79,MMWR_TRAD_AGG_RO_PEN[],I$1,0),"ERROR")</f>
        <v>319</v>
      </c>
      <c r="J79" s="215">
        <f>IFERROR(I79/H79,"0%")</f>
        <v>0.69956140350877194</v>
      </c>
      <c r="K79" s="219">
        <f>IFERROR(VLOOKUP($B79,MMWR_TRAD_AGG_RO_PEN[],K$1,0),"ERROR")</f>
        <v>224</v>
      </c>
      <c r="L79" s="219">
        <f>IFERROR(VLOOKUP($B79,MMWR_TRAD_AGG_RO_PEN[],L$1,0),"ERROR")</f>
        <v>219</v>
      </c>
      <c r="M79" s="215">
        <f>IFERROR(L79/K79,"0%")</f>
        <v>0.9776785714285714</v>
      </c>
      <c r="N79" s="219">
        <f>IFERROR(VLOOKUP($B79,MMWR_TRAD_AGG_RO_PEN[],N$1,0),"ERROR")</f>
        <v>204</v>
      </c>
      <c r="O79" s="219">
        <f>IFERROR(VLOOKUP($B79,MMWR_TRAD_AGG_RO_PEN[],O$1,0),"ERROR")</f>
        <v>156</v>
      </c>
      <c r="P79" s="215">
        <f>IFERROR(O79/N79,"0%")</f>
        <v>0.76470588235294112</v>
      </c>
      <c r="Q79" s="219">
        <f>IFERROR(VLOOKUP($B79,MMWR_TRAD_AGG_RO_PEN[],Q$1,0),"ERROR")</f>
        <v>18</v>
      </c>
      <c r="R79" s="245">
        <f>IFERROR(VLOOKUP($B79,MMWR_TRAD_AGG_RO_PEN[],R$1,0),"ERROR")</f>
        <v>0</v>
      </c>
      <c r="S79" s="245"/>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4" t="str">
        <f>UPPER("INVENTORY BY STATE "&amp;Transformation!B4)</f>
        <v>INVENTORY BY STATE AS OF: DECEMBER 12, 2015</v>
      </c>
      <c r="D2" s="455"/>
      <c r="E2" s="455"/>
      <c r="F2" s="455"/>
      <c r="G2" s="455"/>
      <c r="H2" s="455"/>
      <c r="I2" s="455"/>
      <c r="J2" s="455"/>
      <c r="K2" s="455"/>
      <c r="L2" s="455"/>
      <c r="M2" s="455"/>
      <c r="N2" s="455"/>
      <c r="O2" s="455"/>
      <c r="P2" s="455"/>
      <c r="Q2" s="455"/>
      <c r="R2" s="455"/>
      <c r="S2" s="456"/>
      <c r="T2" s="28"/>
    </row>
    <row r="3" spans="1:20" s="123" customFormat="1" x14ac:dyDescent="0.2">
      <c r="A3" s="25"/>
      <c r="B3" s="26"/>
      <c r="C3" s="462" t="s">
        <v>231</v>
      </c>
      <c r="D3" s="462"/>
      <c r="E3" s="459" t="s">
        <v>211</v>
      </c>
      <c r="F3" s="460"/>
      <c r="G3" s="461"/>
      <c r="H3" s="459" t="s">
        <v>7</v>
      </c>
      <c r="I3" s="460"/>
      <c r="J3" s="461"/>
      <c r="K3" s="459" t="s">
        <v>33</v>
      </c>
      <c r="L3" s="460"/>
      <c r="M3" s="461"/>
      <c r="N3" s="459" t="s">
        <v>8</v>
      </c>
      <c r="O3" s="460"/>
      <c r="P3" s="461"/>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4" t="s">
        <v>493</v>
      </c>
      <c r="D5" s="455"/>
      <c r="E5" s="455"/>
      <c r="F5" s="455"/>
      <c r="G5" s="455"/>
      <c r="H5" s="455"/>
      <c r="I5" s="455"/>
      <c r="J5" s="455"/>
      <c r="K5" s="455"/>
      <c r="L5" s="455"/>
      <c r="M5" s="455"/>
      <c r="N5" s="455"/>
      <c r="O5" s="455"/>
      <c r="P5" s="455"/>
      <c r="Q5" s="455"/>
      <c r="R5" s="455"/>
      <c r="S5" s="456"/>
      <c r="T5" s="28"/>
    </row>
    <row r="6" spans="1:20" s="123" customFormat="1" x14ac:dyDescent="0.2">
      <c r="A6" s="92"/>
      <c r="B6" s="125" t="s">
        <v>468</v>
      </c>
      <c r="C6" s="94">
        <f>IFERROR(VLOOKUP($B6,MMWR_TRAD_AGG_ST_DISTRICT_COMP[],C$1,0),"ERROR")</f>
        <v>328709</v>
      </c>
      <c r="D6" s="95">
        <f>IFERROR(VLOOKUP($B6,MMWR_TRAD_AGG_ST_DISTRICT_COMP[],D$1,0),"ERROR")</f>
        <v>386.52392541730001</v>
      </c>
      <c r="E6" s="96">
        <f>IFERROR(VLOOKUP($B6,MMWR_TRAD_AGG_ST_DISTRICT_COMP[],E$1,0),"ERROR")</f>
        <v>335224</v>
      </c>
      <c r="F6" s="97">
        <f>IFERROR(VLOOKUP($B6,MMWR_TRAD_AGG_ST_DISTRICT_COMP[],F$1,0),"ERROR")</f>
        <v>73951</v>
      </c>
      <c r="G6" s="98">
        <f t="shared" ref="G6:G37" si="0">IFERROR(F6/E6,"0%")</f>
        <v>0.22060174689163067</v>
      </c>
      <c r="H6" s="96">
        <f>IFERROR(VLOOKUP($B6,MMWR_TRAD_AGG_ST_DISTRICT_COMP[],H$1,0),"ERROR")</f>
        <v>477733</v>
      </c>
      <c r="I6" s="97">
        <f>IFERROR(VLOOKUP($B6,MMWR_TRAD_AGG_ST_DISTRICT_COMP[],I$1,0),"ERROR")</f>
        <v>307983</v>
      </c>
      <c r="J6" s="99">
        <f t="shared" ref="J6:J37" si="1">IFERROR(I6/H6,"0%")</f>
        <v>0.644676001029864</v>
      </c>
      <c r="K6" s="96">
        <f>IFERROR(VLOOKUP($B6,MMWR_TRAD_AGG_ST_DISTRICT_COMP[],K$1,0),"ERROR")</f>
        <v>110715</v>
      </c>
      <c r="L6" s="97">
        <f>IFERROR(VLOOKUP($B6,MMWR_TRAD_AGG_ST_DISTRICT_COMP[],L$1,0),"ERROR")</f>
        <v>72731</v>
      </c>
      <c r="M6" s="99">
        <f t="shared" ref="M6:M37" si="2">IFERROR(L6/K6,"0%")</f>
        <v>0.65692092309081873</v>
      </c>
      <c r="N6" s="96">
        <f>IFERROR(VLOOKUP($B6,MMWR_TRAD_AGG_ST_DISTRICT_COMP[],N$1,0),"ERROR")</f>
        <v>140148</v>
      </c>
      <c r="O6" s="97">
        <f>IFERROR(VLOOKUP($B6,MMWR_TRAD_AGG_ST_DISTRICT_COMP[],O$1,0),"ERROR")</f>
        <v>87342</v>
      </c>
      <c r="P6" s="99">
        <f t="shared" ref="P6:P37" si="3">IFERROR(O6/N6,"0%")</f>
        <v>0.62321260381882015</v>
      </c>
      <c r="Q6" s="100">
        <f>IFERROR(VLOOKUP($B6,MMWR_TRAD_AGG_ST_DISTRICT_COMP[],Q$1,0),"ERROR")</f>
        <v>19167</v>
      </c>
      <c r="R6" s="100">
        <f>IFERROR(VLOOKUP($B6,MMWR_TRAD_AGG_ST_DISTRICT_COMP[],R$1,0),"ERROR")</f>
        <v>4018</v>
      </c>
      <c r="S6" s="100">
        <f>S7+S23+S36+S46+S56+S64</f>
        <v>312170</v>
      </c>
      <c r="T6" s="28"/>
    </row>
    <row r="7" spans="1:20" s="123" customFormat="1" x14ac:dyDescent="0.2">
      <c r="A7" s="92"/>
      <c r="B7" s="126" t="s">
        <v>376</v>
      </c>
      <c r="C7" s="102">
        <f>IF(SUM(C8:C22)&lt;&gt;VLOOKUP($B7,MMWR_TRAD_AGG_ST_DISTRICT_COMP[],C$1,0),"ERROR",
VLOOKUP($B7,MMWR_TRAD_AGG_ST_DISTRICT_COMP[],C$1,0))</f>
        <v>74252</v>
      </c>
      <c r="D7" s="103">
        <f>IFERROR(VLOOKUP($B7,MMWR_TRAD_AGG_ST_DISTRICT_COMP[],D$1,0),"ERROR")</f>
        <v>437.9616575984</v>
      </c>
      <c r="E7" s="102">
        <f>IF(SUM(E8:E22)&lt;&gt;VLOOKUP($B7,MMWR_TRAD_AGG_ST_DISTRICT_COMP[],E$1,0),"ERROR",
VLOOKUP($B7,MMWR_TRAD_AGG_ST_DISTRICT_COMP[],E$1,0))</f>
        <v>73201</v>
      </c>
      <c r="F7" s="102">
        <f>IFERROR(VLOOKUP($B7,MMWR_TRAD_AGG_ST_DISTRICT_COMP[],F$1,0),"ERROR")</f>
        <v>16922</v>
      </c>
      <c r="G7" s="104">
        <f t="shared" si="0"/>
        <v>0.23117170530457234</v>
      </c>
      <c r="H7" s="102">
        <f>IF(SUM(H8:H22)&lt;&gt;VLOOKUP($B7,MMWR_TRAD_AGG_ST_DISTRICT_COMP[],H$1,0),"ERROR",
VLOOKUP($B7,MMWR_TRAD_AGG_ST_DISTRICT_COMP[],H$1,0))</f>
        <v>105438</v>
      </c>
      <c r="I7" s="102">
        <f>IF(SUM(I8:I22)&lt;&gt;VLOOKUP($B7,MMWR_TRAD_AGG_ST_DISTRICT_COMP[],I$1,0),"ERROR",
VLOOKUP($B7,MMWR_TRAD_AGG_ST_DISTRICT_COMP[],I$1,0))</f>
        <v>70318</v>
      </c>
      <c r="J7" s="105">
        <f t="shared" si="1"/>
        <v>0.66691325707999016</v>
      </c>
      <c r="K7" s="102">
        <f>IF(SUM(K8:K22)&lt;&gt;VLOOKUP($B7,MMWR_TRAD_AGG_ST_DISTRICT_COMP[],K$1,0),"ERROR",
VLOOKUP($B7,MMWR_TRAD_AGG_ST_DISTRICT_COMP[],K$1,0))</f>
        <v>29837</v>
      </c>
      <c r="L7" s="102">
        <f>IF(SUM(L8:L22)&lt;&gt;VLOOKUP($B7,MMWR_TRAD_AGG_ST_DISTRICT_COMP[],L$1,0),"ERROR",
VLOOKUP($B7,MMWR_TRAD_AGG_ST_DISTRICT_COMP[],L$1,0))</f>
        <v>20745</v>
      </c>
      <c r="M7" s="105">
        <f t="shared" si="2"/>
        <v>0.69527767536950769</v>
      </c>
      <c r="N7" s="102">
        <f>IF(SUM(N8:N22)&lt;&gt;VLOOKUP($B7,MMWR_TRAD_AGG_ST_DISTRICT_COMP[],N$1,0),"ERROR",
VLOOKUP($B7,MMWR_TRAD_AGG_ST_DISTRICT_COMP[],N$1,0))</f>
        <v>33498</v>
      </c>
      <c r="O7" s="102">
        <f>IF(SUM(O8:O22)&lt;&gt;VLOOKUP($B7,MMWR_TRAD_AGG_ST_DISTRICT_COMP[],O$1,0),"ERROR",
VLOOKUP($B7,MMWR_TRAD_AGG_ST_DISTRICT_COMP[],O$1,0))</f>
        <v>23730</v>
      </c>
      <c r="P7" s="105">
        <f t="shared" si="3"/>
        <v>0.70840050152247891</v>
      </c>
      <c r="Q7" s="102">
        <f>IF(SUM(Q8:Q22)&lt;&gt;VLOOKUP($B7,MMWR_TRAD_AGG_ST_DISTRICT_COMP[],Q$1,0),"ERROR",
VLOOKUP($B7,MMWR_TRAD_AGG_ST_DISTRICT_COMP[],Q$1,0))</f>
        <v>8478</v>
      </c>
      <c r="R7" s="106">
        <f>IFERROR(VLOOKUP($B7,MMWR_TRAD_AGG_ST_DISTRICT_COMP[],R$1,0),"ERROR")</f>
        <v>119</v>
      </c>
      <c r="S7" s="106">
        <f>SUM(S8:S22)</f>
        <v>56962</v>
      </c>
      <c r="T7" s="28"/>
    </row>
    <row r="8" spans="1:20" s="123" customFormat="1" x14ac:dyDescent="0.2">
      <c r="A8" s="107"/>
      <c r="B8" s="127" t="s">
        <v>380</v>
      </c>
      <c r="C8" s="109">
        <f>IFERROR(VLOOKUP($B8,MMWR_TRAD_AGG_STATE_COMP[],C$1,0),"ERROR")</f>
        <v>1571</v>
      </c>
      <c r="D8" s="110">
        <f>IFERROR(VLOOKUP($B8,MMWR_TRAD_AGG_STATE_COMP[],D$1,0),"ERROR")</f>
        <v>309.10502864419999</v>
      </c>
      <c r="E8" s="111">
        <f>IFERROR(VLOOKUP($B8,MMWR_TRAD_AGG_STATE_COMP[],E$1,0),"ERROR")</f>
        <v>1955</v>
      </c>
      <c r="F8" s="112">
        <f>IFERROR(VLOOKUP($B8,MMWR_TRAD_AGG_STATE_COMP[],F$1,0),"ERROR")</f>
        <v>372</v>
      </c>
      <c r="G8" s="113">
        <f t="shared" si="0"/>
        <v>0.19028132992327365</v>
      </c>
      <c r="H8" s="111">
        <f>IFERROR(VLOOKUP($B8,MMWR_TRAD_AGG_STATE_COMP[],H$1,0),"ERROR")</f>
        <v>3252</v>
      </c>
      <c r="I8" s="112">
        <f>IFERROR(VLOOKUP($B8,MMWR_TRAD_AGG_STATE_COMP[],I$1,0),"ERROR")</f>
        <v>2049</v>
      </c>
      <c r="J8" s="114">
        <f t="shared" si="1"/>
        <v>0.63007380073800734</v>
      </c>
      <c r="K8" s="111">
        <f>IFERROR(VLOOKUP($B8,MMWR_TRAD_AGG_STATE_COMP[],K$1,0),"ERROR")</f>
        <v>532</v>
      </c>
      <c r="L8" s="112">
        <f>IFERROR(VLOOKUP($B8,MMWR_TRAD_AGG_STATE_COMP[],L$1,0),"ERROR")</f>
        <v>287</v>
      </c>
      <c r="M8" s="114">
        <f t="shared" si="2"/>
        <v>0.53947368421052633</v>
      </c>
      <c r="N8" s="111">
        <f>IFERROR(VLOOKUP($B8,MMWR_TRAD_AGG_STATE_COMP[],N$1,0),"ERROR")</f>
        <v>938</v>
      </c>
      <c r="O8" s="112">
        <f>IFERROR(VLOOKUP($B8,MMWR_TRAD_AGG_STATE_COMP[],O$1,0),"ERROR")</f>
        <v>630</v>
      </c>
      <c r="P8" s="114">
        <f t="shared" si="3"/>
        <v>0.67164179104477617</v>
      </c>
      <c r="Q8" s="115">
        <f>IFERROR(VLOOKUP($B8,MMWR_TRAD_AGG_STATE_COMP[],Q$1,0),"ERROR")</f>
        <v>304</v>
      </c>
      <c r="R8" s="115">
        <f>IFERROR(VLOOKUP($B8,MMWR_TRAD_AGG_STATE_COMP[],R$1,0),"ERROR")</f>
        <v>4</v>
      </c>
      <c r="S8" s="115">
        <f>IFERROR(VLOOKUP($B8,MMWR_APP_STATE_COMP[],S$1,0),"ERROR")</f>
        <v>1087</v>
      </c>
      <c r="T8" s="28"/>
    </row>
    <row r="9" spans="1:20" s="123" customFormat="1" x14ac:dyDescent="0.2">
      <c r="A9" s="107"/>
      <c r="B9" s="127" t="s">
        <v>430</v>
      </c>
      <c r="C9" s="109">
        <f>IFERROR(VLOOKUP($B9,MMWR_TRAD_AGG_STATE_COMP[],C$1,0),"ERROR")</f>
        <v>850</v>
      </c>
      <c r="D9" s="110">
        <f>IFERROR(VLOOKUP($B9,MMWR_TRAD_AGG_STATE_COMP[],D$1,0),"ERROR")</f>
        <v>400.4976470588</v>
      </c>
      <c r="E9" s="111">
        <f>IFERROR(VLOOKUP($B9,MMWR_TRAD_AGG_STATE_COMP[],E$1,0),"ERROR")</f>
        <v>898</v>
      </c>
      <c r="F9" s="112">
        <f>IFERROR(VLOOKUP($B9,MMWR_TRAD_AGG_STATE_COMP[],F$1,0),"ERROR")</f>
        <v>263</v>
      </c>
      <c r="G9" s="113">
        <f t="shared" si="0"/>
        <v>0.29287305122494434</v>
      </c>
      <c r="H9" s="111">
        <f>IFERROR(VLOOKUP($B9,MMWR_TRAD_AGG_STATE_COMP[],H$1,0),"ERROR")</f>
        <v>1146</v>
      </c>
      <c r="I9" s="112">
        <f>IFERROR(VLOOKUP($B9,MMWR_TRAD_AGG_STATE_COMP[],I$1,0),"ERROR")</f>
        <v>793</v>
      </c>
      <c r="J9" s="114">
        <f t="shared" si="1"/>
        <v>0.69197207678883077</v>
      </c>
      <c r="K9" s="111">
        <f>IFERROR(VLOOKUP($B9,MMWR_TRAD_AGG_STATE_COMP[],K$1,0),"ERROR")</f>
        <v>205</v>
      </c>
      <c r="L9" s="112">
        <f>IFERROR(VLOOKUP($B9,MMWR_TRAD_AGG_STATE_COMP[],L$1,0),"ERROR")</f>
        <v>119</v>
      </c>
      <c r="M9" s="114">
        <f t="shared" si="2"/>
        <v>0.58048780487804874</v>
      </c>
      <c r="N9" s="111">
        <f>IFERROR(VLOOKUP($B9,MMWR_TRAD_AGG_STATE_COMP[],N$1,0),"ERROR")</f>
        <v>334</v>
      </c>
      <c r="O9" s="112">
        <f>IFERROR(VLOOKUP($B9,MMWR_TRAD_AGG_STATE_COMP[],O$1,0),"ERROR")</f>
        <v>179</v>
      </c>
      <c r="P9" s="114">
        <f t="shared" si="3"/>
        <v>0.5359281437125748</v>
      </c>
      <c r="Q9" s="115">
        <f>IFERROR(VLOOKUP($B9,MMWR_TRAD_AGG_STATE_COMP[],Q$1,0),"ERROR")</f>
        <v>74</v>
      </c>
      <c r="R9" s="115">
        <f>IFERROR(VLOOKUP($B9,MMWR_TRAD_AGG_STATE_COMP[],R$1,0),"ERROR")</f>
        <v>1</v>
      </c>
      <c r="S9" s="115">
        <f>IFERROR(VLOOKUP($B9,MMWR_APP_STATE_COMP[],S$1,0),"ERROR")</f>
        <v>591</v>
      </c>
      <c r="T9" s="28"/>
    </row>
    <row r="10" spans="1:20" s="123" customFormat="1" x14ac:dyDescent="0.2">
      <c r="A10" s="107"/>
      <c r="B10" s="127" t="s">
        <v>421</v>
      </c>
      <c r="C10" s="109">
        <f>IFERROR(VLOOKUP($B10,MMWR_TRAD_AGG_STATE_COMP[],C$1,0),"ERROR")</f>
        <v>486</v>
      </c>
      <c r="D10" s="110">
        <f>IFERROR(VLOOKUP($B10,MMWR_TRAD_AGG_STATE_COMP[],D$1,0),"ERROR")</f>
        <v>526.34567901230002</v>
      </c>
      <c r="E10" s="111">
        <f>IFERROR(VLOOKUP($B10,MMWR_TRAD_AGG_STATE_COMP[],E$1,0),"ERROR")</f>
        <v>445</v>
      </c>
      <c r="F10" s="112">
        <f>IFERROR(VLOOKUP($B10,MMWR_TRAD_AGG_STATE_COMP[],F$1,0),"ERROR")</f>
        <v>102</v>
      </c>
      <c r="G10" s="113">
        <f t="shared" si="0"/>
        <v>0.2292134831460674</v>
      </c>
      <c r="H10" s="111">
        <f>IFERROR(VLOOKUP($B10,MMWR_TRAD_AGG_STATE_COMP[],H$1,0),"ERROR")</f>
        <v>676</v>
      </c>
      <c r="I10" s="112">
        <f>IFERROR(VLOOKUP($B10,MMWR_TRAD_AGG_STATE_COMP[],I$1,0),"ERROR")</f>
        <v>487</v>
      </c>
      <c r="J10" s="114">
        <f t="shared" si="1"/>
        <v>0.72041420118343191</v>
      </c>
      <c r="K10" s="111">
        <f>IFERROR(VLOOKUP($B10,MMWR_TRAD_AGG_STATE_COMP[],K$1,0),"ERROR")</f>
        <v>182</v>
      </c>
      <c r="L10" s="112">
        <f>IFERROR(VLOOKUP($B10,MMWR_TRAD_AGG_STATE_COMP[],L$1,0),"ERROR")</f>
        <v>132</v>
      </c>
      <c r="M10" s="114">
        <f t="shared" si="2"/>
        <v>0.72527472527472525</v>
      </c>
      <c r="N10" s="111">
        <f>IFERROR(VLOOKUP($B10,MMWR_TRAD_AGG_STATE_COMP[],N$1,0),"ERROR")</f>
        <v>318</v>
      </c>
      <c r="O10" s="112">
        <f>IFERROR(VLOOKUP($B10,MMWR_TRAD_AGG_STATE_COMP[],O$1,0),"ERROR")</f>
        <v>243</v>
      </c>
      <c r="P10" s="114">
        <f t="shared" si="3"/>
        <v>0.76415094339622647</v>
      </c>
      <c r="Q10" s="115">
        <f>IFERROR(VLOOKUP($B10,MMWR_TRAD_AGG_STATE_COMP[],Q$1,0),"ERROR")</f>
        <v>22</v>
      </c>
      <c r="R10" s="115">
        <f>IFERROR(VLOOKUP($B10,MMWR_TRAD_AGG_STATE_COMP[],R$1,0),"ERROR")</f>
        <v>0</v>
      </c>
      <c r="S10" s="115">
        <f>IFERROR(VLOOKUP($B10,MMWR_APP_STATE_COMP[],S$1,0),"ERROR")</f>
        <v>597</v>
      </c>
      <c r="T10" s="28"/>
    </row>
    <row r="11" spans="1:20" s="123" customFormat="1" x14ac:dyDescent="0.2">
      <c r="A11" s="107"/>
      <c r="B11" s="127" t="s">
        <v>423</v>
      </c>
      <c r="C11" s="109">
        <f>IFERROR(VLOOKUP($B11,MMWR_TRAD_AGG_STATE_COMP[],C$1,0),"ERROR")</f>
        <v>1450</v>
      </c>
      <c r="D11" s="110">
        <f>IFERROR(VLOOKUP($B11,MMWR_TRAD_AGG_STATE_COMP[],D$1,0),"ERROR")</f>
        <v>285.86965517239997</v>
      </c>
      <c r="E11" s="111">
        <f>IFERROR(VLOOKUP($B11,MMWR_TRAD_AGG_STATE_COMP[],E$1,0),"ERROR")</f>
        <v>1201</v>
      </c>
      <c r="F11" s="112">
        <f>IFERROR(VLOOKUP($B11,MMWR_TRAD_AGG_STATE_COMP[],F$1,0),"ERROR")</f>
        <v>187</v>
      </c>
      <c r="G11" s="113">
        <f t="shared" si="0"/>
        <v>0.15570358034970858</v>
      </c>
      <c r="H11" s="111">
        <f>IFERROR(VLOOKUP($B11,MMWR_TRAD_AGG_STATE_COMP[],H$1,0),"ERROR")</f>
        <v>2068</v>
      </c>
      <c r="I11" s="112">
        <f>IFERROR(VLOOKUP($B11,MMWR_TRAD_AGG_STATE_COMP[],I$1,0),"ERROR")</f>
        <v>1254</v>
      </c>
      <c r="J11" s="114">
        <f t="shared" si="1"/>
        <v>0.6063829787234043</v>
      </c>
      <c r="K11" s="111">
        <f>IFERROR(VLOOKUP($B11,MMWR_TRAD_AGG_STATE_COMP[],K$1,0),"ERROR")</f>
        <v>1082</v>
      </c>
      <c r="L11" s="112">
        <f>IFERROR(VLOOKUP($B11,MMWR_TRAD_AGG_STATE_COMP[],L$1,0),"ERROR")</f>
        <v>793</v>
      </c>
      <c r="M11" s="114">
        <f t="shared" si="2"/>
        <v>0.73290203327171899</v>
      </c>
      <c r="N11" s="111">
        <f>IFERROR(VLOOKUP($B11,MMWR_TRAD_AGG_STATE_COMP[],N$1,0),"ERROR")</f>
        <v>312</v>
      </c>
      <c r="O11" s="112">
        <f>IFERROR(VLOOKUP($B11,MMWR_TRAD_AGG_STATE_COMP[],O$1,0),"ERROR")</f>
        <v>195</v>
      </c>
      <c r="P11" s="114">
        <f t="shared" si="3"/>
        <v>0.625</v>
      </c>
      <c r="Q11" s="115">
        <f>IFERROR(VLOOKUP($B11,MMWR_TRAD_AGG_STATE_COMP[],Q$1,0),"ERROR")</f>
        <v>360</v>
      </c>
      <c r="R11" s="115">
        <f>IFERROR(VLOOKUP($B11,MMWR_TRAD_AGG_STATE_COMP[],R$1,0),"ERROR")</f>
        <v>3</v>
      </c>
      <c r="S11" s="115">
        <f>IFERROR(VLOOKUP($B11,MMWR_APP_STATE_COMP[],S$1,0),"ERROR")</f>
        <v>426</v>
      </c>
      <c r="T11" s="28"/>
    </row>
    <row r="12" spans="1:20" s="123" customFormat="1" x14ac:dyDescent="0.2">
      <c r="A12" s="107"/>
      <c r="B12" s="127" t="s">
        <v>383</v>
      </c>
      <c r="C12" s="109">
        <f>IFERROR(VLOOKUP($B12,MMWR_TRAD_AGG_STATE_COMP[],C$1,0),"ERROR")</f>
        <v>8599</v>
      </c>
      <c r="D12" s="110">
        <f>IFERROR(VLOOKUP($B12,MMWR_TRAD_AGG_STATE_COMP[],D$1,0),"ERROR")</f>
        <v>628.06558902200004</v>
      </c>
      <c r="E12" s="111">
        <f>IFERROR(VLOOKUP($B12,MMWR_TRAD_AGG_STATE_COMP[],E$1,0),"ERROR")</f>
        <v>5879</v>
      </c>
      <c r="F12" s="112">
        <f>IFERROR(VLOOKUP($B12,MMWR_TRAD_AGG_STATE_COMP[],F$1,0),"ERROR")</f>
        <v>1262</v>
      </c>
      <c r="G12" s="113">
        <f t="shared" si="0"/>
        <v>0.21466235754379998</v>
      </c>
      <c r="H12" s="111">
        <f>IFERROR(VLOOKUP($B12,MMWR_TRAD_AGG_STATE_COMP[],H$1,0),"ERROR")</f>
        <v>11716</v>
      </c>
      <c r="I12" s="112">
        <f>IFERROR(VLOOKUP($B12,MMWR_TRAD_AGG_STATE_COMP[],I$1,0),"ERROR")</f>
        <v>8401</v>
      </c>
      <c r="J12" s="114">
        <f t="shared" si="1"/>
        <v>0.71705360191191536</v>
      </c>
      <c r="K12" s="111">
        <f>IFERROR(VLOOKUP($B12,MMWR_TRAD_AGG_STATE_COMP[],K$1,0),"ERROR")</f>
        <v>2862</v>
      </c>
      <c r="L12" s="112">
        <f>IFERROR(VLOOKUP($B12,MMWR_TRAD_AGG_STATE_COMP[],L$1,0),"ERROR")</f>
        <v>2032</v>
      </c>
      <c r="M12" s="114">
        <f t="shared" si="2"/>
        <v>0.70999301187980435</v>
      </c>
      <c r="N12" s="111">
        <f>IFERROR(VLOOKUP($B12,MMWR_TRAD_AGG_STATE_COMP[],N$1,0),"ERROR")</f>
        <v>6777</v>
      </c>
      <c r="O12" s="112">
        <f>IFERROR(VLOOKUP($B12,MMWR_TRAD_AGG_STATE_COMP[],O$1,0),"ERROR")</f>
        <v>5497</v>
      </c>
      <c r="P12" s="114">
        <f t="shared" si="3"/>
        <v>0.81112586690275934</v>
      </c>
      <c r="Q12" s="115">
        <f>IFERROR(VLOOKUP($B12,MMWR_TRAD_AGG_STATE_COMP[],Q$1,0),"ERROR")</f>
        <v>426</v>
      </c>
      <c r="R12" s="115">
        <f>IFERROR(VLOOKUP($B12,MMWR_TRAD_AGG_STATE_COMP[],R$1,0),"ERROR")</f>
        <v>4</v>
      </c>
      <c r="S12" s="115">
        <f>IFERROR(VLOOKUP($B12,MMWR_APP_STATE_COMP[],S$1,0),"ERROR")</f>
        <v>5603</v>
      </c>
      <c r="T12" s="28"/>
    </row>
    <row r="13" spans="1:20" s="123" customFormat="1" x14ac:dyDescent="0.2">
      <c r="A13" s="107"/>
      <c r="B13" s="127" t="s">
        <v>378</v>
      </c>
      <c r="C13" s="109">
        <f>IFERROR(VLOOKUP($B13,MMWR_TRAD_AGG_STATE_COMP[],C$1,0),"ERROR")</f>
        <v>4837</v>
      </c>
      <c r="D13" s="110">
        <f>IFERROR(VLOOKUP($B13,MMWR_TRAD_AGG_STATE_COMP[],D$1,0),"ERROR")</f>
        <v>527.91606367580005</v>
      </c>
      <c r="E13" s="111">
        <f>IFERROR(VLOOKUP($B13,MMWR_TRAD_AGG_STATE_COMP[],E$1,0),"ERROR")</f>
        <v>4363</v>
      </c>
      <c r="F13" s="112">
        <f>IFERROR(VLOOKUP($B13,MMWR_TRAD_AGG_STATE_COMP[],F$1,0),"ERROR")</f>
        <v>1175</v>
      </c>
      <c r="G13" s="113">
        <f t="shared" si="0"/>
        <v>0.26931010772404307</v>
      </c>
      <c r="H13" s="111">
        <f>IFERROR(VLOOKUP($B13,MMWR_TRAD_AGG_STATE_COMP[],H$1,0),"ERROR")</f>
        <v>7130</v>
      </c>
      <c r="I13" s="112">
        <f>IFERROR(VLOOKUP($B13,MMWR_TRAD_AGG_STATE_COMP[],I$1,0),"ERROR")</f>
        <v>5021</v>
      </c>
      <c r="J13" s="114">
        <f t="shared" si="1"/>
        <v>0.70420757363253861</v>
      </c>
      <c r="K13" s="111">
        <f>IFERROR(VLOOKUP($B13,MMWR_TRAD_AGG_STATE_COMP[],K$1,0),"ERROR")</f>
        <v>2836</v>
      </c>
      <c r="L13" s="112">
        <f>IFERROR(VLOOKUP($B13,MMWR_TRAD_AGG_STATE_COMP[],L$1,0),"ERROR")</f>
        <v>2216</v>
      </c>
      <c r="M13" s="114">
        <f t="shared" si="2"/>
        <v>0.78138222849083216</v>
      </c>
      <c r="N13" s="111">
        <f>IFERROR(VLOOKUP($B13,MMWR_TRAD_AGG_STATE_COMP[],N$1,0),"ERROR")</f>
        <v>1390</v>
      </c>
      <c r="O13" s="112">
        <f>IFERROR(VLOOKUP($B13,MMWR_TRAD_AGG_STATE_COMP[],O$1,0),"ERROR")</f>
        <v>1073</v>
      </c>
      <c r="P13" s="114">
        <f t="shared" si="3"/>
        <v>0.77194244604316542</v>
      </c>
      <c r="Q13" s="115">
        <f>IFERROR(VLOOKUP($B13,MMWR_TRAD_AGG_STATE_COMP[],Q$1,0),"ERROR")</f>
        <v>759</v>
      </c>
      <c r="R13" s="115">
        <f>IFERROR(VLOOKUP($B13,MMWR_TRAD_AGG_STATE_COMP[],R$1,0),"ERROR")</f>
        <v>8</v>
      </c>
      <c r="S13" s="115">
        <f>IFERROR(VLOOKUP($B13,MMWR_APP_STATE_COMP[],S$1,0),"ERROR")</f>
        <v>3415</v>
      </c>
      <c r="T13" s="28"/>
    </row>
    <row r="14" spans="1:20" s="123" customFormat="1" x14ac:dyDescent="0.2">
      <c r="A14" s="107"/>
      <c r="B14" s="127" t="s">
        <v>422</v>
      </c>
      <c r="C14" s="109">
        <f>IFERROR(VLOOKUP($B14,MMWR_TRAD_AGG_STATE_COMP[],C$1,0),"ERROR")</f>
        <v>1612</v>
      </c>
      <c r="D14" s="110">
        <f>IFERROR(VLOOKUP($B14,MMWR_TRAD_AGG_STATE_COMP[],D$1,0),"ERROR")</f>
        <v>397.23014888339998</v>
      </c>
      <c r="E14" s="111">
        <f>IFERROR(VLOOKUP($B14,MMWR_TRAD_AGG_STATE_COMP[],E$1,0),"ERROR")</f>
        <v>1225</v>
      </c>
      <c r="F14" s="112">
        <f>IFERROR(VLOOKUP($B14,MMWR_TRAD_AGG_STATE_COMP[],F$1,0),"ERROR")</f>
        <v>295</v>
      </c>
      <c r="G14" s="113">
        <f t="shared" si="0"/>
        <v>0.24081632653061225</v>
      </c>
      <c r="H14" s="111">
        <f>IFERROR(VLOOKUP($B14,MMWR_TRAD_AGG_STATE_COMP[],H$1,0),"ERROR")</f>
        <v>2291</v>
      </c>
      <c r="I14" s="112">
        <f>IFERROR(VLOOKUP($B14,MMWR_TRAD_AGG_STATE_COMP[],I$1,0),"ERROR")</f>
        <v>1487</v>
      </c>
      <c r="J14" s="114">
        <f t="shared" si="1"/>
        <v>0.64906154517677872</v>
      </c>
      <c r="K14" s="111">
        <f>IFERROR(VLOOKUP($B14,MMWR_TRAD_AGG_STATE_COMP[],K$1,0),"ERROR")</f>
        <v>564</v>
      </c>
      <c r="L14" s="112">
        <f>IFERROR(VLOOKUP($B14,MMWR_TRAD_AGG_STATE_COMP[],L$1,0),"ERROR")</f>
        <v>455</v>
      </c>
      <c r="M14" s="114">
        <f t="shared" si="2"/>
        <v>0.80673758865248224</v>
      </c>
      <c r="N14" s="111">
        <f>IFERROR(VLOOKUP($B14,MMWR_TRAD_AGG_STATE_COMP[],N$1,0),"ERROR")</f>
        <v>181</v>
      </c>
      <c r="O14" s="112">
        <f>IFERROR(VLOOKUP($B14,MMWR_TRAD_AGG_STATE_COMP[],O$1,0),"ERROR")</f>
        <v>100</v>
      </c>
      <c r="P14" s="114">
        <f t="shared" si="3"/>
        <v>0.5524861878453039</v>
      </c>
      <c r="Q14" s="115">
        <f>IFERROR(VLOOKUP($B14,MMWR_TRAD_AGG_STATE_COMP[],Q$1,0),"ERROR")</f>
        <v>176</v>
      </c>
      <c r="R14" s="115">
        <f>IFERROR(VLOOKUP($B14,MMWR_TRAD_AGG_STATE_COMP[],R$1,0),"ERROR")</f>
        <v>2</v>
      </c>
      <c r="S14" s="115">
        <f>IFERROR(VLOOKUP($B14,MMWR_APP_STATE_COMP[],S$1,0),"ERROR")</f>
        <v>681</v>
      </c>
      <c r="T14" s="28"/>
    </row>
    <row r="15" spans="1:20" s="123" customFormat="1" x14ac:dyDescent="0.2">
      <c r="A15" s="107"/>
      <c r="B15" s="127" t="s">
        <v>381</v>
      </c>
      <c r="C15" s="109">
        <f>IFERROR(VLOOKUP($B15,MMWR_TRAD_AGG_STATE_COMP[],C$1,0),"ERROR")</f>
        <v>2604</v>
      </c>
      <c r="D15" s="110">
        <f>IFERROR(VLOOKUP($B15,MMWR_TRAD_AGG_STATE_COMP[],D$1,0),"ERROR")</f>
        <v>301.59331797239997</v>
      </c>
      <c r="E15" s="111">
        <f>IFERROR(VLOOKUP($B15,MMWR_TRAD_AGG_STATE_COMP[],E$1,0),"ERROR")</f>
        <v>4137</v>
      </c>
      <c r="F15" s="112">
        <f>IFERROR(VLOOKUP($B15,MMWR_TRAD_AGG_STATE_COMP[],F$1,0),"ERROR")</f>
        <v>951</v>
      </c>
      <c r="G15" s="113">
        <f t="shared" si="0"/>
        <v>0.22987672226250908</v>
      </c>
      <c r="H15" s="111">
        <f>IFERROR(VLOOKUP($B15,MMWR_TRAD_AGG_STATE_COMP[],H$1,0),"ERROR")</f>
        <v>4163</v>
      </c>
      <c r="I15" s="112">
        <f>IFERROR(VLOOKUP($B15,MMWR_TRAD_AGG_STATE_COMP[],I$1,0),"ERROR")</f>
        <v>2203</v>
      </c>
      <c r="J15" s="114">
        <f t="shared" si="1"/>
        <v>0.52918568340139327</v>
      </c>
      <c r="K15" s="111">
        <f>IFERROR(VLOOKUP($B15,MMWR_TRAD_AGG_STATE_COMP[],K$1,0),"ERROR")</f>
        <v>1223</v>
      </c>
      <c r="L15" s="112">
        <f>IFERROR(VLOOKUP($B15,MMWR_TRAD_AGG_STATE_COMP[],L$1,0),"ERROR")</f>
        <v>793</v>
      </c>
      <c r="M15" s="114">
        <f t="shared" si="2"/>
        <v>0.64840556009811934</v>
      </c>
      <c r="N15" s="111">
        <f>IFERROR(VLOOKUP($B15,MMWR_TRAD_AGG_STATE_COMP[],N$1,0),"ERROR")</f>
        <v>1970</v>
      </c>
      <c r="O15" s="112">
        <f>IFERROR(VLOOKUP($B15,MMWR_TRAD_AGG_STATE_COMP[],O$1,0),"ERROR")</f>
        <v>1261</v>
      </c>
      <c r="P15" s="114">
        <f t="shared" si="3"/>
        <v>0.64010152284263955</v>
      </c>
      <c r="Q15" s="115">
        <f>IFERROR(VLOOKUP($B15,MMWR_TRAD_AGG_STATE_COMP[],Q$1,0),"ERROR")</f>
        <v>725</v>
      </c>
      <c r="R15" s="115">
        <f>IFERROR(VLOOKUP($B15,MMWR_TRAD_AGG_STATE_COMP[],R$1,0),"ERROR")</f>
        <v>4</v>
      </c>
      <c r="S15" s="115">
        <f>IFERROR(VLOOKUP($B15,MMWR_APP_STATE_COMP[],S$1,0),"ERROR")</f>
        <v>4152</v>
      </c>
      <c r="T15" s="28"/>
    </row>
    <row r="16" spans="1:20" s="123" customFormat="1" x14ac:dyDescent="0.2">
      <c r="A16" s="107"/>
      <c r="B16" s="127" t="s">
        <v>63</v>
      </c>
      <c r="C16" s="109">
        <f>IFERROR(VLOOKUP($B16,MMWR_TRAD_AGG_STATE_COMP[],C$1,0),"ERROR")</f>
        <v>6916</v>
      </c>
      <c r="D16" s="110">
        <f>IFERROR(VLOOKUP($B16,MMWR_TRAD_AGG_STATE_COMP[],D$1,0),"ERROR")</f>
        <v>292.7820994795</v>
      </c>
      <c r="E16" s="111">
        <f>IFERROR(VLOOKUP($B16,MMWR_TRAD_AGG_STATE_COMP[],E$1,0),"ERROR")</f>
        <v>8839</v>
      </c>
      <c r="F16" s="112">
        <f>IFERROR(VLOOKUP($B16,MMWR_TRAD_AGG_STATE_COMP[],F$1,0),"ERROR")</f>
        <v>1976</v>
      </c>
      <c r="G16" s="113">
        <f t="shared" si="0"/>
        <v>0.22355470075800429</v>
      </c>
      <c r="H16" s="111">
        <f>IFERROR(VLOOKUP($B16,MMWR_TRAD_AGG_STATE_COMP[],H$1,0),"ERROR")</f>
        <v>10245</v>
      </c>
      <c r="I16" s="112">
        <f>IFERROR(VLOOKUP($B16,MMWR_TRAD_AGG_STATE_COMP[],I$1,0),"ERROR")</f>
        <v>6226</v>
      </c>
      <c r="J16" s="114">
        <f t="shared" si="1"/>
        <v>0.60771107857491458</v>
      </c>
      <c r="K16" s="111">
        <f>IFERROR(VLOOKUP($B16,MMWR_TRAD_AGG_STATE_COMP[],K$1,0),"ERROR")</f>
        <v>3969</v>
      </c>
      <c r="L16" s="112">
        <f>IFERROR(VLOOKUP($B16,MMWR_TRAD_AGG_STATE_COMP[],L$1,0),"ERROR")</f>
        <v>2873</v>
      </c>
      <c r="M16" s="114">
        <f t="shared" si="2"/>
        <v>0.72385991433610486</v>
      </c>
      <c r="N16" s="111">
        <f>IFERROR(VLOOKUP($B16,MMWR_TRAD_AGG_STATE_COMP[],N$1,0),"ERROR")</f>
        <v>2295</v>
      </c>
      <c r="O16" s="112">
        <f>IFERROR(VLOOKUP($B16,MMWR_TRAD_AGG_STATE_COMP[],O$1,0),"ERROR")</f>
        <v>1077</v>
      </c>
      <c r="P16" s="114">
        <f t="shared" si="3"/>
        <v>0.46928104575163399</v>
      </c>
      <c r="Q16" s="115">
        <f>IFERROR(VLOOKUP($B16,MMWR_TRAD_AGG_STATE_COMP[],Q$1,0),"ERROR")</f>
        <v>1523</v>
      </c>
      <c r="R16" s="115">
        <f>IFERROR(VLOOKUP($B16,MMWR_TRAD_AGG_STATE_COMP[],R$1,0),"ERROR")</f>
        <v>7</v>
      </c>
      <c r="S16" s="115">
        <f>IFERROR(VLOOKUP($B16,MMWR_APP_STATE_COMP[],S$1,0),"ERROR")</f>
        <v>5453</v>
      </c>
      <c r="T16" s="28"/>
    </row>
    <row r="17" spans="1:20" s="123" customFormat="1" x14ac:dyDescent="0.2">
      <c r="A17" s="107"/>
      <c r="B17" s="127" t="s">
        <v>389</v>
      </c>
      <c r="C17" s="109">
        <f>IFERROR(VLOOKUP($B17,MMWR_TRAD_AGG_STATE_COMP[],C$1,0),"ERROR")</f>
        <v>16271</v>
      </c>
      <c r="D17" s="110">
        <f>IFERROR(VLOOKUP($B17,MMWR_TRAD_AGG_STATE_COMP[],D$1,0),"ERROR")</f>
        <v>323.37686681830002</v>
      </c>
      <c r="E17" s="111">
        <f>IFERROR(VLOOKUP($B17,MMWR_TRAD_AGG_STATE_COMP[],E$1,0),"ERROR")</f>
        <v>17844</v>
      </c>
      <c r="F17" s="112">
        <f>IFERROR(VLOOKUP($B17,MMWR_TRAD_AGG_STATE_COMP[],F$1,0),"ERROR")</f>
        <v>4504</v>
      </c>
      <c r="G17" s="113">
        <f t="shared" si="0"/>
        <v>0.25240977359336469</v>
      </c>
      <c r="H17" s="111">
        <f>IFERROR(VLOOKUP($B17,MMWR_TRAD_AGG_STATE_COMP[],H$1,0),"ERROR")</f>
        <v>22463</v>
      </c>
      <c r="I17" s="112">
        <f>IFERROR(VLOOKUP($B17,MMWR_TRAD_AGG_STATE_COMP[],I$1,0),"ERROR")</f>
        <v>14632</v>
      </c>
      <c r="J17" s="114">
        <f t="shared" si="1"/>
        <v>0.65138227307127272</v>
      </c>
      <c r="K17" s="111">
        <f>IFERROR(VLOOKUP($B17,MMWR_TRAD_AGG_STATE_COMP[],K$1,0),"ERROR")</f>
        <v>6340</v>
      </c>
      <c r="L17" s="112">
        <f>IFERROR(VLOOKUP($B17,MMWR_TRAD_AGG_STATE_COMP[],L$1,0),"ERROR")</f>
        <v>3961</v>
      </c>
      <c r="M17" s="114">
        <f t="shared" si="2"/>
        <v>0.62476340694006305</v>
      </c>
      <c r="N17" s="111">
        <f>IFERROR(VLOOKUP($B17,MMWR_TRAD_AGG_STATE_COMP[],N$1,0),"ERROR")</f>
        <v>5419</v>
      </c>
      <c r="O17" s="112">
        <f>IFERROR(VLOOKUP($B17,MMWR_TRAD_AGG_STATE_COMP[],O$1,0),"ERROR")</f>
        <v>3418</v>
      </c>
      <c r="P17" s="114">
        <f t="shared" si="3"/>
        <v>0.63074367964569111</v>
      </c>
      <c r="Q17" s="115">
        <f>IFERROR(VLOOKUP($B17,MMWR_TRAD_AGG_STATE_COMP[],Q$1,0),"ERROR")</f>
        <v>1157</v>
      </c>
      <c r="R17" s="115">
        <f>IFERROR(VLOOKUP($B17,MMWR_TRAD_AGG_STATE_COMP[],R$1,0),"ERROR")</f>
        <v>37</v>
      </c>
      <c r="S17" s="115">
        <f>IFERROR(VLOOKUP($B17,MMWR_APP_STATE_COMP[],S$1,0),"ERROR")</f>
        <v>10192</v>
      </c>
      <c r="T17" s="28"/>
    </row>
    <row r="18" spans="1:20" s="123" customFormat="1" x14ac:dyDescent="0.2">
      <c r="A18" s="107"/>
      <c r="B18" s="127" t="s">
        <v>382</v>
      </c>
      <c r="C18" s="109">
        <f>IFERROR(VLOOKUP($B18,MMWR_TRAD_AGG_STATE_COMP[],C$1,0),"ERROR")</f>
        <v>8353</v>
      </c>
      <c r="D18" s="110">
        <f>IFERROR(VLOOKUP($B18,MMWR_TRAD_AGG_STATE_COMP[],D$1,0),"ERROR")</f>
        <v>430.6853824973</v>
      </c>
      <c r="E18" s="111">
        <f>IFERROR(VLOOKUP($B18,MMWR_TRAD_AGG_STATE_COMP[],E$1,0),"ERROR")</f>
        <v>9518</v>
      </c>
      <c r="F18" s="112">
        <f>IFERROR(VLOOKUP($B18,MMWR_TRAD_AGG_STATE_COMP[],F$1,0),"ERROR")</f>
        <v>2527</v>
      </c>
      <c r="G18" s="113">
        <f t="shared" si="0"/>
        <v>0.26549695314141625</v>
      </c>
      <c r="H18" s="111">
        <f>IFERROR(VLOOKUP($B18,MMWR_TRAD_AGG_STATE_COMP[],H$1,0),"ERROR")</f>
        <v>12651</v>
      </c>
      <c r="I18" s="112">
        <f>IFERROR(VLOOKUP($B18,MMWR_TRAD_AGG_STATE_COMP[],I$1,0),"ERROR")</f>
        <v>8799</v>
      </c>
      <c r="J18" s="114">
        <f t="shared" si="1"/>
        <v>0.69551814085843011</v>
      </c>
      <c r="K18" s="111">
        <f>IFERROR(VLOOKUP($B18,MMWR_TRAD_AGG_STATE_COMP[],K$1,0),"ERROR")</f>
        <v>1788</v>
      </c>
      <c r="L18" s="112">
        <f>IFERROR(VLOOKUP($B18,MMWR_TRAD_AGG_STATE_COMP[],L$1,0),"ERROR")</f>
        <v>986</v>
      </c>
      <c r="M18" s="114">
        <f t="shared" si="2"/>
        <v>0.55145413870246085</v>
      </c>
      <c r="N18" s="111">
        <f>IFERROR(VLOOKUP($B18,MMWR_TRAD_AGG_STATE_COMP[],N$1,0),"ERROR")</f>
        <v>5959</v>
      </c>
      <c r="O18" s="112">
        <f>IFERROR(VLOOKUP($B18,MMWR_TRAD_AGG_STATE_COMP[],O$1,0),"ERROR")</f>
        <v>4779</v>
      </c>
      <c r="P18" s="114">
        <f t="shared" si="3"/>
        <v>0.80198019801980203</v>
      </c>
      <c r="Q18" s="115">
        <f>IFERROR(VLOOKUP($B18,MMWR_TRAD_AGG_STATE_COMP[],Q$1,0),"ERROR")</f>
        <v>1386</v>
      </c>
      <c r="R18" s="115">
        <f>IFERROR(VLOOKUP($B18,MMWR_TRAD_AGG_STATE_COMP[],R$1,0),"ERROR")</f>
        <v>9</v>
      </c>
      <c r="S18" s="115">
        <f>IFERROR(VLOOKUP($B18,MMWR_APP_STATE_COMP[],S$1,0),"ERROR")</f>
        <v>7008</v>
      </c>
      <c r="T18" s="28"/>
    </row>
    <row r="19" spans="1:20" s="123" customFormat="1" x14ac:dyDescent="0.2">
      <c r="A19" s="107"/>
      <c r="B19" s="127" t="s">
        <v>379</v>
      </c>
      <c r="C19" s="109">
        <f>IFERROR(VLOOKUP($B19,MMWR_TRAD_AGG_STATE_COMP[],C$1,0),"ERROR")</f>
        <v>420</v>
      </c>
      <c r="D19" s="110">
        <f>IFERROR(VLOOKUP($B19,MMWR_TRAD_AGG_STATE_COMP[],D$1,0),"ERROR")</f>
        <v>229.95</v>
      </c>
      <c r="E19" s="111">
        <f>IFERROR(VLOOKUP($B19,MMWR_TRAD_AGG_STATE_COMP[],E$1,0),"ERROR")</f>
        <v>884</v>
      </c>
      <c r="F19" s="112">
        <f>IFERROR(VLOOKUP($B19,MMWR_TRAD_AGG_STATE_COMP[],F$1,0),"ERROR")</f>
        <v>172</v>
      </c>
      <c r="G19" s="113">
        <f t="shared" si="0"/>
        <v>0.19457013574660634</v>
      </c>
      <c r="H19" s="111">
        <f>IFERROR(VLOOKUP($B19,MMWR_TRAD_AGG_STATE_COMP[],H$1,0),"ERROR")</f>
        <v>807</v>
      </c>
      <c r="I19" s="112">
        <f>IFERROR(VLOOKUP($B19,MMWR_TRAD_AGG_STATE_COMP[],I$1,0),"ERROR")</f>
        <v>342</v>
      </c>
      <c r="J19" s="114">
        <f t="shared" si="1"/>
        <v>0.42379182156133827</v>
      </c>
      <c r="K19" s="111">
        <f>IFERROR(VLOOKUP($B19,MMWR_TRAD_AGG_STATE_COMP[],K$1,0),"ERROR")</f>
        <v>289</v>
      </c>
      <c r="L19" s="112">
        <f>IFERROR(VLOOKUP($B19,MMWR_TRAD_AGG_STATE_COMP[],L$1,0),"ERROR")</f>
        <v>205</v>
      </c>
      <c r="M19" s="114">
        <f t="shared" si="2"/>
        <v>0.70934256055363321</v>
      </c>
      <c r="N19" s="111">
        <f>IFERROR(VLOOKUP($B19,MMWR_TRAD_AGG_STATE_COMP[],N$1,0),"ERROR")</f>
        <v>156</v>
      </c>
      <c r="O19" s="112">
        <f>IFERROR(VLOOKUP($B19,MMWR_TRAD_AGG_STATE_COMP[],O$1,0),"ERROR")</f>
        <v>76</v>
      </c>
      <c r="P19" s="114">
        <f t="shared" si="3"/>
        <v>0.48717948717948717</v>
      </c>
      <c r="Q19" s="115">
        <f>IFERROR(VLOOKUP($B19,MMWR_TRAD_AGG_STATE_COMP[],Q$1,0),"ERROR")</f>
        <v>200</v>
      </c>
      <c r="R19" s="115">
        <f>IFERROR(VLOOKUP($B19,MMWR_TRAD_AGG_STATE_COMP[],R$1,0),"ERROR")</f>
        <v>3</v>
      </c>
      <c r="S19" s="115">
        <f>IFERROR(VLOOKUP($B19,MMWR_APP_STATE_COMP[],S$1,0),"ERROR")</f>
        <v>350</v>
      </c>
      <c r="T19" s="28"/>
    </row>
    <row r="20" spans="1:20" s="123" customFormat="1" x14ac:dyDescent="0.2">
      <c r="A20" s="107"/>
      <c r="B20" s="127" t="s">
        <v>424</v>
      </c>
      <c r="C20" s="109">
        <f>IFERROR(VLOOKUP($B20,MMWR_TRAD_AGG_STATE_COMP[],C$1,0),"ERROR")</f>
        <v>465</v>
      </c>
      <c r="D20" s="110">
        <f>IFERROR(VLOOKUP($B20,MMWR_TRAD_AGG_STATE_COMP[],D$1,0),"ERROR")</f>
        <v>374.32043010749999</v>
      </c>
      <c r="E20" s="111">
        <f>IFERROR(VLOOKUP($B20,MMWR_TRAD_AGG_STATE_COMP[],E$1,0),"ERROR")</f>
        <v>492</v>
      </c>
      <c r="F20" s="112">
        <f>IFERROR(VLOOKUP($B20,MMWR_TRAD_AGG_STATE_COMP[],F$1,0),"ERROR")</f>
        <v>105</v>
      </c>
      <c r="G20" s="113">
        <f t="shared" si="0"/>
        <v>0.21341463414634146</v>
      </c>
      <c r="H20" s="111">
        <f>IFERROR(VLOOKUP($B20,MMWR_TRAD_AGG_STATE_COMP[],H$1,0),"ERROR")</f>
        <v>937</v>
      </c>
      <c r="I20" s="112">
        <f>IFERROR(VLOOKUP($B20,MMWR_TRAD_AGG_STATE_COMP[],I$1,0),"ERROR")</f>
        <v>483</v>
      </c>
      <c r="J20" s="114">
        <f t="shared" si="1"/>
        <v>0.51547491995731054</v>
      </c>
      <c r="K20" s="111">
        <f>IFERROR(VLOOKUP($B20,MMWR_TRAD_AGG_STATE_COMP[],K$1,0),"ERROR")</f>
        <v>186</v>
      </c>
      <c r="L20" s="112">
        <f>IFERROR(VLOOKUP($B20,MMWR_TRAD_AGG_STATE_COMP[],L$1,0),"ERROR")</f>
        <v>125</v>
      </c>
      <c r="M20" s="114">
        <f t="shared" si="2"/>
        <v>0.67204301075268813</v>
      </c>
      <c r="N20" s="111">
        <f>IFERROR(VLOOKUP($B20,MMWR_TRAD_AGG_STATE_COMP[],N$1,0),"ERROR")</f>
        <v>107</v>
      </c>
      <c r="O20" s="112">
        <f>IFERROR(VLOOKUP($B20,MMWR_TRAD_AGG_STATE_COMP[],O$1,0),"ERROR")</f>
        <v>67</v>
      </c>
      <c r="P20" s="114">
        <f t="shared" si="3"/>
        <v>0.62616822429906538</v>
      </c>
      <c r="Q20" s="115">
        <f>IFERROR(VLOOKUP($B20,MMWR_TRAD_AGG_STATE_COMP[],Q$1,0),"ERROR")</f>
        <v>79</v>
      </c>
      <c r="R20" s="115">
        <f>IFERROR(VLOOKUP($B20,MMWR_TRAD_AGG_STATE_COMP[],R$1,0),"ERROR")</f>
        <v>1</v>
      </c>
      <c r="S20" s="115">
        <f>IFERROR(VLOOKUP($B20,MMWR_APP_STATE_COMP[],S$1,0),"ERROR")</f>
        <v>137</v>
      </c>
      <c r="T20" s="28"/>
    </row>
    <row r="21" spans="1:20" s="123" customFormat="1" x14ac:dyDescent="0.2">
      <c r="A21" s="107"/>
      <c r="B21" s="127" t="s">
        <v>385</v>
      </c>
      <c r="C21" s="109">
        <f>IFERROR(VLOOKUP($B21,MMWR_TRAD_AGG_STATE_COMP[],C$1,0),"ERROR")</f>
        <v>17569</v>
      </c>
      <c r="D21" s="110">
        <f>IFERROR(VLOOKUP($B21,MMWR_TRAD_AGG_STATE_COMP[],D$1,0),"ERROR")</f>
        <v>562.10888496780001</v>
      </c>
      <c r="E21" s="111">
        <f>IFERROR(VLOOKUP($B21,MMWR_TRAD_AGG_STATE_COMP[],E$1,0),"ERROR")</f>
        <v>12998</v>
      </c>
      <c r="F21" s="112">
        <f>IFERROR(VLOOKUP($B21,MMWR_TRAD_AGG_STATE_COMP[],F$1,0),"ERROR")</f>
        <v>2630</v>
      </c>
      <c r="G21" s="113">
        <f t="shared" si="0"/>
        <v>0.20233882135713185</v>
      </c>
      <c r="H21" s="111">
        <f>IFERROR(VLOOKUP($B21,MMWR_TRAD_AGG_STATE_COMP[],H$1,0),"ERROR")</f>
        <v>22191</v>
      </c>
      <c r="I21" s="112">
        <f>IFERROR(VLOOKUP($B21,MMWR_TRAD_AGG_STATE_COMP[],I$1,0),"ERROR")</f>
        <v>15948</v>
      </c>
      <c r="J21" s="114">
        <f t="shared" si="1"/>
        <v>0.7186697309720157</v>
      </c>
      <c r="K21" s="111">
        <f>IFERROR(VLOOKUP($B21,MMWR_TRAD_AGG_STATE_COMP[],K$1,0),"ERROR")</f>
        <v>7384</v>
      </c>
      <c r="L21" s="112">
        <f>IFERROR(VLOOKUP($B21,MMWR_TRAD_AGG_STATE_COMP[],L$1,0),"ERROR")</f>
        <v>5604</v>
      </c>
      <c r="M21" s="114">
        <f t="shared" si="2"/>
        <v>0.75893824485373784</v>
      </c>
      <c r="N21" s="111">
        <f>IFERROR(VLOOKUP($B21,MMWR_TRAD_AGG_STATE_COMP[],N$1,0),"ERROR")</f>
        <v>6116</v>
      </c>
      <c r="O21" s="112">
        <f>IFERROR(VLOOKUP($B21,MMWR_TRAD_AGG_STATE_COMP[],O$1,0),"ERROR")</f>
        <v>4271</v>
      </c>
      <c r="P21" s="114">
        <f t="shared" si="3"/>
        <v>0.69833224329627208</v>
      </c>
      <c r="Q21" s="115">
        <f>IFERROR(VLOOKUP($B21,MMWR_TRAD_AGG_STATE_COMP[],Q$1,0),"ERROR")</f>
        <v>923</v>
      </c>
      <c r="R21" s="115">
        <f>IFERROR(VLOOKUP($B21,MMWR_TRAD_AGG_STATE_COMP[],R$1,0),"ERROR")</f>
        <v>21</v>
      </c>
      <c r="S21" s="115">
        <f>IFERROR(VLOOKUP($B21,MMWR_APP_STATE_COMP[],S$1,0),"ERROR")</f>
        <v>14977</v>
      </c>
      <c r="T21" s="28"/>
    </row>
    <row r="22" spans="1:20" s="123" customFormat="1" x14ac:dyDescent="0.2">
      <c r="A22" s="107"/>
      <c r="B22" s="127" t="s">
        <v>386</v>
      </c>
      <c r="C22" s="109">
        <f>IFERROR(VLOOKUP($B22,MMWR_TRAD_AGG_STATE_COMP[],C$1,0),"ERROR")</f>
        <v>2249</v>
      </c>
      <c r="D22" s="110">
        <f>IFERROR(VLOOKUP($B22,MMWR_TRAD_AGG_STATE_COMP[],D$1,0),"ERROR")</f>
        <v>272.4975544687</v>
      </c>
      <c r="E22" s="111">
        <f>IFERROR(VLOOKUP($B22,MMWR_TRAD_AGG_STATE_COMP[],E$1,0),"ERROR")</f>
        <v>2523</v>
      </c>
      <c r="F22" s="112">
        <f>IFERROR(VLOOKUP($B22,MMWR_TRAD_AGG_STATE_COMP[],F$1,0),"ERROR")</f>
        <v>401</v>
      </c>
      <c r="G22" s="113">
        <f t="shared" si="0"/>
        <v>0.15893777249306382</v>
      </c>
      <c r="H22" s="111">
        <f>IFERROR(VLOOKUP($B22,MMWR_TRAD_AGG_STATE_COMP[],H$1,0),"ERROR")</f>
        <v>3702</v>
      </c>
      <c r="I22" s="112">
        <f>IFERROR(VLOOKUP($B22,MMWR_TRAD_AGG_STATE_COMP[],I$1,0),"ERROR")</f>
        <v>2193</v>
      </c>
      <c r="J22" s="114">
        <f t="shared" si="1"/>
        <v>0.59238249594813619</v>
      </c>
      <c r="K22" s="111">
        <f>IFERROR(VLOOKUP($B22,MMWR_TRAD_AGG_STATE_COMP[],K$1,0),"ERROR")</f>
        <v>395</v>
      </c>
      <c r="L22" s="112">
        <f>IFERROR(VLOOKUP($B22,MMWR_TRAD_AGG_STATE_COMP[],L$1,0),"ERROR")</f>
        <v>164</v>
      </c>
      <c r="M22" s="114">
        <f t="shared" si="2"/>
        <v>0.41518987341772151</v>
      </c>
      <c r="N22" s="111">
        <f>IFERROR(VLOOKUP($B22,MMWR_TRAD_AGG_STATE_COMP[],N$1,0),"ERROR")</f>
        <v>1226</v>
      </c>
      <c r="O22" s="112">
        <f>IFERROR(VLOOKUP($B22,MMWR_TRAD_AGG_STATE_COMP[],O$1,0),"ERROR")</f>
        <v>864</v>
      </c>
      <c r="P22" s="114">
        <f t="shared" si="3"/>
        <v>0.70473083197389885</v>
      </c>
      <c r="Q22" s="115">
        <f>IFERROR(VLOOKUP($B22,MMWR_TRAD_AGG_STATE_COMP[],Q$1,0),"ERROR")</f>
        <v>364</v>
      </c>
      <c r="R22" s="115">
        <f>IFERROR(VLOOKUP($B22,MMWR_TRAD_AGG_STATE_COMP[],R$1,0),"ERROR")</f>
        <v>15</v>
      </c>
      <c r="S22" s="115">
        <f>IFERROR(VLOOKUP($B22,MMWR_APP_STATE_COMP[],S$1,0),"ERROR")</f>
        <v>2293</v>
      </c>
      <c r="T22" s="28"/>
    </row>
    <row r="23" spans="1:20" s="123" customFormat="1" x14ac:dyDescent="0.2">
      <c r="A23" s="107"/>
      <c r="B23" s="126" t="s">
        <v>397</v>
      </c>
      <c r="C23" s="102">
        <f>IF(SUM(C24:C35)&lt;&gt;VLOOKUP($B23,MMWR_TRAD_AGG_ST_DISTRICT_COMP[],C$1,0),"ERROR",
VLOOKUP($B23,MMWR_TRAD_AGG_ST_DISTRICT_COMP[],C$1,0))</f>
        <v>43550</v>
      </c>
      <c r="D23" s="103">
        <f>IFERROR(VLOOKUP($B23,MMWR_TRAD_AGG_ST_DISTRICT_COMP[],D$1,0),"ERROR")</f>
        <v>388.3023421355</v>
      </c>
      <c r="E23" s="102">
        <f>IF(SUM(E24:E35)&lt;&gt;VLOOKUP($B23,MMWR_TRAD_AGG_ST_DISTRICT_COMP[],E$1,0),"ERROR",
VLOOKUP($B23,MMWR_TRAD_AGG_ST_DISTRICT_COMP[],E$1,0))</f>
        <v>53461</v>
      </c>
      <c r="F23" s="102">
        <f>IF(SUM(F24:F35)&lt;&gt;VLOOKUP($B23,MMWR_TRAD_AGG_ST_DISTRICT_COMP[],F$1,0),"ERROR",
VLOOKUP($B23,MMWR_TRAD_AGG_ST_DISTRICT_COMP[],F$1,0))</f>
        <v>10962</v>
      </c>
      <c r="G23" s="104">
        <f t="shared" si="0"/>
        <v>0.20504666953480108</v>
      </c>
      <c r="H23" s="102">
        <f>IF(SUM(H24:H35)&lt;&gt;VLOOKUP($B23,MMWR_TRAD_AGG_ST_DISTRICT_COMP[],H$1,0),"ERROR",
VLOOKUP($B23,MMWR_TRAD_AGG_ST_DISTRICT_COMP[],H$1,0))</f>
        <v>68997</v>
      </c>
      <c r="I23" s="102">
        <f>IF(SUM(I24:I35)&lt;&gt;VLOOKUP($B23,MMWR_TRAD_AGG_ST_DISTRICT_COMP[],I$1,0),"ERROR",
VLOOKUP($B23,MMWR_TRAD_AGG_ST_DISTRICT_COMP[],I$1,0))</f>
        <v>40298</v>
      </c>
      <c r="J23" s="105">
        <f t="shared" si="1"/>
        <v>0.58405437917590619</v>
      </c>
      <c r="K23" s="102">
        <f>IF(SUM(K24:K35)&lt;&gt;VLOOKUP($B23,MMWR_TRAD_AGG_ST_DISTRICT_COMP[],K$1,0),"ERROR",
VLOOKUP($B23,MMWR_TRAD_AGG_ST_DISTRICT_COMP[],K$1,0))</f>
        <v>12786</v>
      </c>
      <c r="L23" s="102">
        <f>IF(SUM(L24:L35)&lt;&gt;VLOOKUP($B23,MMWR_TRAD_AGG_ST_DISTRICT_COMP[],L$1,0),"ERROR",
VLOOKUP($B23,MMWR_TRAD_AGG_ST_DISTRICT_COMP[],L$1,0))</f>
        <v>8078</v>
      </c>
      <c r="M23" s="105">
        <f t="shared" si="2"/>
        <v>0.6317847645862662</v>
      </c>
      <c r="N23" s="102">
        <f>IF(SUM(N24:N35)&lt;&gt;VLOOKUP($B23,MMWR_TRAD_AGG_ST_DISTRICT_COMP[],N$1,0),"ERROR",
VLOOKUP($B23,MMWR_TRAD_AGG_ST_DISTRICT_COMP[],N$1,0))</f>
        <v>20675</v>
      </c>
      <c r="O23" s="102">
        <f>IF(SUM(O24:O35)&lt;&gt;VLOOKUP($B23,MMWR_TRAD_AGG_ST_DISTRICT_COMP[],O$1,0),"ERROR",
VLOOKUP($B23,MMWR_TRAD_AGG_ST_DISTRICT_COMP[],O$1,0))</f>
        <v>12135</v>
      </c>
      <c r="P23" s="105">
        <f t="shared" si="3"/>
        <v>0.58694074969770249</v>
      </c>
      <c r="Q23" s="102">
        <f>IF(SUM(Q24:Q35)&lt;&gt;VLOOKUP($B23,MMWR_TRAD_AGG_ST_DISTRICT_COMP[],Q$1,0),"ERROR",
VLOOKUP($B23,MMWR_TRAD_AGG_ST_DISTRICT_COMP[],Q$1,0))</f>
        <v>3674</v>
      </c>
      <c r="R23" s="102">
        <f>IF(SUM(R24:R35)&lt;&gt;VLOOKUP($B23,MMWR_TRAD_AGG_ST_DISTRICT_COMP[],R$1,0),"ERROR",
VLOOKUP($B23,MMWR_TRAD_AGG_ST_DISTRICT_COMP[],R$1,0))</f>
        <v>1055</v>
      </c>
      <c r="S23" s="106">
        <f>SUM(S24:S35)</f>
        <v>53306</v>
      </c>
      <c r="T23" s="28"/>
    </row>
    <row r="24" spans="1:20" s="123" customFormat="1" x14ac:dyDescent="0.2">
      <c r="A24" s="92"/>
      <c r="B24" s="127" t="s">
        <v>401</v>
      </c>
      <c r="C24" s="109">
        <f>IFERROR(VLOOKUP($B24,MMWR_TRAD_AGG_STATE_COMP[],C$1,0),"ERROR")</f>
        <v>7313</v>
      </c>
      <c r="D24" s="110">
        <f>IFERROR(VLOOKUP($B24,MMWR_TRAD_AGG_STATE_COMP[],D$1,0),"ERROR")</f>
        <v>489.51278545060001</v>
      </c>
      <c r="E24" s="111">
        <f>IFERROR(VLOOKUP($B24,MMWR_TRAD_AGG_STATE_COMP[],E$1,0),"ERROR")</f>
        <v>7520</v>
      </c>
      <c r="F24" s="112">
        <f>IFERROR(VLOOKUP($B24,MMWR_TRAD_AGG_STATE_COMP[],F$1,0),"ERROR")</f>
        <v>1876</v>
      </c>
      <c r="G24" s="113">
        <f t="shared" si="0"/>
        <v>0.24946808510638299</v>
      </c>
      <c r="H24" s="111">
        <f>IFERROR(VLOOKUP($B24,MMWR_TRAD_AGG_STATE_COMP[],H$1,0),"ERROR")</f>
        <v>9950</v>
      </c>
      <c r="I24" s="112">
        <f>IFERROR(VLOOKUP($B24,MMWR_TRAD_AGG_STATE_COMP[],I$1,0),"ERROR")</f>
        <v>6889</v>
      </c>
      <c r="J24" s="114">
        <f t="shared" si="1"/>
        <v>0.69236180904522615</v>
      </c>
      <c r="K24" s="111">
        <f>IFERROR(VLOOKUP($B24,MMWR_TRAD_AGG_STATE_COMP[],K$1,0),"ERROR")</f>
        <v>1846</v>
      </c>
      <c r="L24" s="112">
        <f>IFERROR(VLOOKUP($B24,MMWR_TRAD_AGG_STATE_COMP[],L$1,0),"ERROR")</f>
        <v>1370</v>
      </c>
      <c r="M24" s="114">
        <f t="shared" si="2"/>
        <v>0.74214517876489705</v>
      </c>
      <c r="N24" s="111">
        <f>IFERROR(VLOOKUP($B24,MMWR_TRAD_AGG_STATE_COMP[],N$1,0),"ERROR")</f>
        <v>2055</v>
      </c>
      <c r="O24" s="112">
        <f>IFERROR(VLOOKUP($B24,MMWR_TRAD_AGG_STATE_COMP[],O$1,0),"ERROR")</f>
        <v>1137</v>
      </c>
      <c r="P24" s="114">
        <f t="shared" si="3"/>
        <v>0.55328467153284666</v>
      </c>
      <c r="Q24" s="115">
        <f>IFERROR(VLOOKUP($B24,MMWR_TRAD_AGG_STATE_COMP[],Q$1,0),"ERROR")</f>
        <v>689</v>
      </c>
      <c r="R24" s="115">
        <f>IFERROR(VLOOKUP($B24,MMWR_TRAD_AGG_STATE_COMP[],R$1,0),"ERROR")</f>
        <v>207</v>
      </c>
      <c r="S24" s="115">
        <f>IFERROR(VLOOKUP($B24,MMWR_APP_STATE_COMP[],S$1,0),"ERROR")</f>
        <v>8267</v>
      </c>
      <c r="T24" s="28"/>
    </row>
    <row r="25" spans="1:20" s="123" customFormat="1" x14ac:dyDescent="0.2">
      <c r="A25" s="107"/>
      <c r="B25" s="127" t="s">
        <v>399</v>
      </c>
      <c r="C25" s="109">
        <f>IFERROR(VLOOKUP($B25,MMWR_TRAD_AGG_STATE_COMP[],C$1,0),"ERROR")</f>
        <v>7367</v>
      </c>
      <c r="D25" s="110">
        <f>IFERROR(VLOOKUP($B25,MMWR_TRAD_AGG_STATE_COMP[],D$1,0),"ERROR")</f>
        <v>605.3787158952</v>
      </c>
      <c r="E25" s="111">
        <f>IFERROR(VLOOKUP($B25,MMWR_TRAD_AGG_STATE_COMP[],E$1,0),"ERROR")</f>
        <v>5294</v>
      </c>
      <c r="F25" s="112">
        <f>IFERROR(VLOOKUP($B25,MMWR_TRAD_AGG_STATE_COMP[],F$1,0),"ERROR")</f>
        <v>959</v>
      </c>
      <c r="G25" s="113">
        <f t="shared" si="0"/>
        <v>0.18114846996599923</v>
      </c>
      <c r="H25" s="111">
        <f>IFERROR(VLOOKUP($B25,MMWR_TRAD_AGG_STATE_COMP[],H$1,0),"ERROR")</f>
        <v>11365</v>
      </c>
      <c r="I25" s="112">
        <f>IFERROR(VLOOKUP($B25,MMWR_TRAD_AGG_STATE_COMP[],I$1,0),"ERROR")</f>
        <v>7446</v>
      </c>
      <c r="J25" s="114">
        <f t="shared" si="1"/>
        <v>0.65516937967443911</v>
      </c>
      <c r="K25" s="111">
        <f>IFERROR(VLOOKUP($B25,MMWR_TRAD_AGG_STATE_COMP[],K$1,0),"ERROR")</f>
        <v>1840</v>
      </c>
      <c r="L25" s="112">
        <f>IFERROR(VLOOKUP($B25,MMWR_TRAD_AGG_STATE_COMP[],L$1,0),"ERROR")</f>
        <v>1219</v>
      </c>
      <c r="M25" s="114">
        <f t="shared" si="2"/>
        <v>0.66249999999999998</v>
      </c>
      <c r="N25" s="111">
        <f>IFERROR(VLOOKUP($B25,MMWR_TRAD_AGG_STATE_COMP[],N$1,0),"ERROR")</f>
        <v>2422</v>
      </c>
      <c r="O25" s="112">
        <f>IFERROR(VLOOKUP($B25,MMWR_TRAD_AGG_STATE_COMP[],O$1,0),"ERROR")</f>
        <v>1752</v>
      </c>
      <c r="P25" s="114">
        <f t="shared" si="3"/>
        <v>0.7233691164327003</v>
      </c>
      <c r="Q25" s="115">
        <f>IFERROR(VLOOKUP($B25,MMWR_TRAD_AGG_STATE_COMP[],Q$1,0),"ERROR")</f>
        <v>506</v>
      </c>
      <c r="R25" s="115">
        <f>IFERROR(VLOOKUP($B25,MMWR_TRAD_AGG_STATE_COMP[],R$1,0),"ERROR")</f>
        <v>191</v>
      </c>
      <c r="S25" s="115">
        <f>IFERROR(VLOOKUP($B25,MMWR_APP_STATE_COMP[],S$1,0),"ERROR")</f>
        <v>8215</v>
      </c>
      <c r="T25" s="28"/>
    </row>
    <row r="26" spans="1:20" s="123" customFormat="1" x14ac:dyDescent="0.2">
      <c r="A26" s="107"/>
      <c r="B26" s="127" t="s">
        <v>406</v>
      </c>
      <c r="C26" s="109">
        <f>IFERROR(VLOOKUP($B26,MMWR_TRAD_AGG_STATE_COMP[],C$1,0),"ERROR")</f>
        <v>1442</v>
      </c>
      <c r="D26" s="110">
        <f>IFERROR(VLOOKUP($B26,MMWR_TRAD_AGG_STATE_COMP[],D$1,0),"ERROR")</f>
        <v>190.69001386959999</v>
      </c>
      <c r="E26" s="111">
        <f>IFERROR(VLOOKUP($B26,MMWR_TRAD_AGG_STATE_COMP[],E$1,0),"ERROR")</f>
        <v>2375</v>
      </c>
      <c r="F26" s="112">
        <f>IFERROR(VLOOKUP($B26,MMWR_TRAD_AGG_STATE_COMP[],F$1,0),"ERROR")</f>
        <v>392</v>
      </c>
      <c r="G26" s="113">
        <f t="shared" si="0"/>
        <v>0.16505263157894737</v>
      </c>
      <c r="H26" s="111">
        <f>IFERROR(VLOOKUP($B26,MMWR_TRAD_AGG_STATE_COMP[],H$1,0),"ERROR")</f>
        <v>2497</v>
      </c>
      <c r="I26" s="112">
        <f>IFERROR(VLOOKUP($B26,MMWR_TRAD_AGG_STATE_COMP[],I$1,0),"ERROR")</f>
        <v>1113</v>
      </c>
      <c r="J26" s="114">
        <f t="shared" si="1"/>
        <v>0.4457348818582299</v>
      </c>
      <c r="K26" s="111">
        <f>IFERROR(VLOOKUP($B26,MMWR_TRAD_AGG_STATE_COMP[],K$1,0),"ERROR")</f>
        <v>380</v>
      </c>
      <c r="L26" s="112">
        <f>IFERROR(VLOOKUP($B26,MMWR_TRAD_AGG_STATE_COMP[],L$1,0),"ERROR")</f>
        <v>186</v>
      </c>
      <c r="M26" s="114">
        <f t="shared" si="2"/>
        <v>0.48947368421052634</v>
      </c>
      <c r="N26" s="111">
        <f>IFERROR(VLOOKUP($B26,MMWR_TRAD_AGG_STATE_COMP[],N$1,0),"ERROR")</f>
        <v>501</v>
      </c>
      <c r="O26" s="112">
        <f>IFERROR(VLOOKUP($B26,MMWR_TRAD_AGG_STATE_COMP[],O$1,0),"ERROR")</f>
        <v>253</v>
      </c>
      <c r="P26" s="114">
        <f t="shared" si="3"/>
        <v>0.50499001996007986</v>
      </c>
      <c r="Q26" s="115">
        <f>IFERROR(VLOOKUP($B26,MMWR_TRAD_AGG_STATE_COMP[],Q$1,0),"ERROR")</f>
        <v>1</v>
      </c>
      <c r="R26" s="115">
        <f>IFERROR(VLOOKUP($B26,MMWR_TRAD_AGG_STATE_COMP[],R$1,0),"ERROR")</f>
        <v>8</v>
      </c>
      <c r="S26" s="115">
        <f>IFERROR(VLOOKUP($B26,MMWR_APP_STATE_COMP[],S$1,0),"ERROR")</f>
        <v>1206</v>
      </c>
      <c r="T26" s="28"/>
    </row>
    <row r="27" spans="1:20" s="123" customFormat="1" x14ac:dyDescent="0.2">
      <c r="A27" s="107"/>
      <c r="B27" s="127" t="s">
        <v>429</v>
      </c>
      <c r="C27" s="109">
        <f>IFERROR(VLOOKUP($B27,MMWR_TRAD_AGG_STATE_COMP[],C$1,0),"ERROR")</f>
        <v>2079</v>
      </c>
      <c r="D27" s="110">
        <f>IFERROR(VLOOKUP($B27,MMWR_TRAD_AGG_STATE_COMP[],D$1,0),"ERROR")</f>
        <v>234.24915824920001</v>
      </c>
      <c r="E27" s="111">
        <f>IFERROR(VLOOKUP($B27,MMWR_TRAD_AGG_STATE_COMP[],E$1,0),"ERROR")</f>
        <v>2783</v>
      </c>
      <c r="F27" s="112">
        <f>IFERROR(VLOOKUP($B27,MMWR_TRAD_AGG_STATE_COMP[],F$1,0),"ERROR")</f>
        <v>519</v>
      </c>
      <c r="G27" s="113">
        <f t="shared" si="0"/>
        <v>0.1864893999281351</v>
      </c>
      <c r="H27" s="111">
        <f>IFERROR(VLOOKUP($B27,MMWR_TRAD_AGG_STATE_COMP[],H$1,0),"ERROR")</f>
        <v>3342</v>
      </c>
      <c r="I27" s="112">
        <f>IFERROR(VLOOKUP($B27,MMWR_TRAD_AGG_STATE_COMP[],I$1,0),"ERROR")</f>
        <v>1609</v>
      </c>
      <c r="J27" s="114">
        <f t="shared" si="1"/>
        <v>0.4814482345900658</v>
      </c>
      <c r="K27" s="111">
        <f>IFERROR(VLOOKUP($B27,MMWR_TRAD_AGG_STATE_COMP[],K$1,0),"ERROR")</f>
        <v>779</v>
      </c>
      <c r="L27" s="112">
        <f>IFERROR(VLOOKUP($B27,MMWR_TRAD_AGG_STATE_COMP[],L$1,0),"ERROR")</f>
        <v>315</v>
      </c>
      <c r="M27" s="114">
        <f t="shared" si="2"/>
        <v>0.40436456996148906</v>
      </c>
      <c r="N27" s="111">
        <f>IFERROR(VLOOKUP($B27,MMWR_TRAD_AGG_STATE_COMP[],N$1,0),"ERROR")</f>
        <v>568</v>
      </c>
      <c r="O27" s="112">
        <f>IFERROR(VLOOKUP($B27,MMWR_TRAD_AGG_STATE_COMP[],O$1,0),"ERROR")</f>
        <v>254</v>
      </c>
      <c r="P27" s="114">
        <f t="shared" si="3"/>
        <v>0.44718309859154931</v>
      </c>
      <c r="Q27" s="115">
        <f>IFERROR(VLOOKUP($B27,MMWR_TRAD_AGG_STATE_COMP[],Q$1,0),"ERROR")</f>
        <v>7</v>
      </c>
      <c r="R27" s="115">
        <f>IFERROR(VLOOKUP($B27,MMWR_TRAD_AGG_STATE_COMP[],R$1,0),"ERROR")</f>
        <v>13</v>
      </c>
      <c r="S27" s="115">
        <f>IFERROR(VLOOKUP($B27,MMWR_APP_STATE_COMP[],S$1,0),"ERROR")</f>
        <v>1351</v>
      </c>
      <c r="T27" s="28"/>
    </row>
    <row r="28" spans="1:20" s="123" customFormat="1" x14ac:dyDescent="0.2">
      <c r="A28" s="107"/>
      <c r="B28" s="127" t="s">
        <v>402</v>
      </c>
      <c r="C28" s="109">
        <f>IFERROR(VLOOKUP($B28,MMWR_TRAD_AGG_STATE_COMP[],C$1,0),"ERROR")</f>
        <v>4426</v>
      </c>
      <c r="D28" s="110">
        <f>IFERROR(VLOOKUP($B28,MMWR_TRAD_AGG_STATE_COMP[],D$1,0),"ERROR")</f>
        <v>273.76683235429999</v>
      </c>
      <c r="E28" s="111">
        <f>IFERROR(VLOOKUP($B28,MMWR_TRAD_AGG_STATE_COMP[],E$1,0),"ERROR")</f>
        <v>7648</v>
      </c>
      <c r="F28" s="112">
        <f>IFERROR(VLOOKUP($B28,MMWR_TRAD_AGG_STATE_COMP[],F$1,0),"ERROR")</f>
        <v>1779</v>
      </c>
      <c r="G28" s="113">
        <f t="shared" si="0"/>
        <v>0.23260983263598325</v>
      </c>
      <c r="H28" s="111">
        <f>IFERROR(VLOOKUP($B28,MMWR_TRAD_AGG_STATE_COMP[],H$1,0),"ERROR")</f>
        <v>7931</v>
      </c>
      <c r="I28" s="112">
        <f>IFERROR(VLOOKUP($B28,MMWR_TRAD_AGG_STATE_COMP[],I$1,0),"ERROR")</f>
        <v>4487</v>
      </c>
      <c r="J28" s="114">
        <f t="shared" si="1"/>
        <v>0.56575463371579882</v>
      </c>
      <c r="K28" s="111">
        <f>IFERROR(VLOOKUP($B28,MMWR_TRAD_AGG_STATE_COMP[],K$1,0),"ERROR")</f>
        <v>1404</v>
      </c>
      <c r="L28" s="112">
        <f>IFERROR(VLOOKUP($B28,MMWR_TRAD_AGG_STATE_COMP[],L$1,0),"ERROR")</f>
        <v>764</v>
      </c>
      <c r="M28" s="114">
        <f t="shared" si="2"/>
        <v>0.54415954415954415</v>
      </c>
      <c r="N28" s="111">
        <f>IFERROR(VLOOKUP($B28,MMWR_TRAD_AGG_STATE_COMP[],N$1,0),"ERROR")</f>
        <v>1521</v>
      </c>
      <c r="O28" s="112">
        <f>IFERROR(VLOOKUP($B28,MMWR_TRAD_AGG_STATE_COMP[],O$1,0),"ERROR")</f>
        <v>758</v>
      </c>
      <c r="P28" s="114">
        <f t="shared" si="3"/>
        <v>0.49835634451019067</v>
      </c>
      <c r="Q28" s="115">
        <f>IFERROR(VLOOKUP($B28,MMWR_TRAD_AGG_STATE_COMP[],Q$1,0),"ERROR")</f>
        <v>725</v>
      </c>
      <c r="R28" s="115">
        <f>IFERROR(VLOOKUP($B28,MMWR_TRAD_AGG_STATE_COMP[],R$1,0),"ERROR")</f>
        <v>198</v>
      </c>
      <c r="S28" s="115">
        <f>IFERROR(VLOOKUP($B28,MMWR_APP_STATE_COMP[],S$1,0),"ERROR")</f>
        <v>5990</v>
      </c>
      <c r="T28" s="28"/>
    </row>
    <row r="29" spans="1:20" s="123" customFormat="1" x14ac:dyDescent="0.2">
      <c r="A29" s="107"/>
      <c r="B29" s="127" t="s">
        <v>408</v>
      </c>
      <c r="C29" s="109">
        <f>IFERROR(VLOOKUP($B29,MMWR_TRAD_AGG_STATE_COMP[],C$1,0),"ERROR")</f>
        <v>1397</v>
      </c>
      <c r="D29" s="110">
        <f>IFERROR(VLOOKUP($B29,MMWR_TRAD_AGG_STATE_COMP[],D$1,0),"ERROR")</f>
        <v>200.63779527560001</v>
      </c>
      <c r="E29" s="111">
        <f>IFERROR(VLOOKUP($B29,MMWR_TRAD_AGG_STATE_COMP[],E$1,0),"ERROR")</f>
        <v>4938</v>
      </c>
      <c r="F29" s="112">
        <f>IFERROR(VLOOKUP($B29,MMWR_TRAD_AGG_STATE_COMP[],F$1,0),"ERROR")</f>
        <v>954</v>
      </c>
      <c r="G29" s="113">
        <f t="shared" si="0"/>
        <v>0.19319562575941676</v>
      </c>
      <c r="H29" s="111">
        <f>IFERROR(VLOOKUP($B29,MMWR_TRAD_AGG_STATE_COMP[],H$1,0),"ERROR")</f>
        <v>3267</v>
      </c>
      <c r="I29" s="112">
        <f>IFERROR(VLOOKUP($B29,MMWR_TRAD_AGG_STATE_COMP[],I$1,0),"ERROR")</f>
        <v>1372</v>
      </c>
      <c r="J29" s="114">
        <f t="shared" si="1"/>
        <v>0.41995714722987448</v>
      </c>
      <c r="K29" s="111">
        <f>IFERROR(VLOOKUP($B29,MMWR_TRAD_AGG_STATE_COMP[],K$1,0),"ERROR")</f>
        <v>608</v>
      </c>
      <c r="L29" s="112">
        <f>IFERROR(VLOOKUP($B29,MMWR_TRAD_AGG_STATE_COMP[],L$1,0),"ERROR")</f>
        <v>253</v>
      </c>
      <c r="M29" s="114">
        <f t="shared" si="2"/>
        <v>0.41611842105263158</v>
      </c>
      <c r="N29" s="111">
        <f>IFERROR(VLOOKUP($B29,MMWR_TRAD_AGG_STATE_COMP[],N$1,0),"ERROR")</f>
        <v>1076</v>
      </c>
      <c r="O29" s="112">
        <f>IFERROR(VLOOKUP($B29,MMWR_TRAD_AGG_STATE_COMP[],O$1,0),"ERROR")</f>
        <v>591</v>
      </c>
      <c r="P29" s="114">
        <f t="shared" si="3"/>
        <v>0.5492565055762082</v>
      </c>
      <c r="Q29" s="115">
        <f>IFERROR(VLOOKUP($B29,MMWR_TRAD_AGG_STATE_COMP[],Q$1,0),"ERROR")</f>
        <v>7</v>
      </c>
      <c r="R29" s="115">
        <f>IFERROR(VLOOKUP($B29,MMWR_TRAD_AGG_STATE_COMP[],R$1,0),"ERROR")</f>
        <v>4</v>
      </c>
      <c r="S29" s="115">
        <f>IFERROR(VLOOKUP($B29,MMWR_APP_STATE_COMP[],S$1,0),"ERROR")</f>
        <v>2204</v>
      </c>
      <c r="T29" s="28"/>
    </row>
    <row r="30" spans="1:20" s="123" customFormat="1" x14ac:dyDescent="0.2">
      <c r="A30" s="107"/>
      <c r="B30" s="127" t="s">
        <v>404</v>
      </c>
      <c r="C30" s="109">
        <f>IFERROR(VLOOKUP($B30,MMWR_TRAD_AGG_STATE_COMP[],C$1,0),"ERROR")</f>
        <v>5709</v>
      </c>
      <c r="D30" s="110">
        <f>IFERROR(VLOOKUP($B30,MMWR_TRAD_AGG_STATE_COMP[],D$1,0),"ERROR")</f>
        <v>284.0360833771</v>
      </c>
      <c r="E30" s="111">
        <f>IFERROR(VLOOKUP($B30,MMWR_TRAD_AGG_STATE_COMP[],E$1,0),"ERROR")</f>
        <v>6293</v>
      </c>
      <c r="F30" s="112">
        <f>IFERROR(VLOOKUP($B30,MMWR_TRAD_AGG_STATE_COMP[],F$1,0),"ERROR")</f>
        <v>986</v>
      </c>
      <c r="G30" s="113">
        <f t="shared" si="0"/>
        <v>0.15668202764976957</v>
      </c>
      <c r="H30" s="111">
        <f>IFERROR(VLOOKUP($B30,MMWR_TRAD_AGG_STATE_COMP[],H$1,0),"ERROR")</f>
        <v>8276</v>
      </c>
      <c r="I30" s="112">
        <f>IFERROR(VLOOKUP($B30,MMWR_TRAD_AGG_STATE_COMP[],I$1,0),"ERROR")</f>
        <v>5120</v>
      </c>
      <c r="J30" s="114">
        <f t="shared" si="1"/>
        <v>0.61865635572740452</v>
      </c>
      <c r="K30" s="111">
        <f>IFERROR(VLOOKUP($B30,MMWR_TRAD_AGG_STATE_COMP[],K$1,0),"ERROR")</f>
        <v>2382</v>
      </c>
      <c r="L30" s="112">
        <f>IFERROR(VLOOKUP($B30,MMWR_TRAD_AGG_STATE_COMP[],L$1,0),"ERROR")</f>
        <v>1846</v>
      </c>
      <c r="M30" s="114">
        <f t="shared" si="2"/>
        <v>0.77497900923593621</v>
      </c>
      <c r="N30" s="111">
        <f>IFERROR(VLOOKUP($B30,MMWR_TRAD_AGG_STATE_COMP[],N$1,0),"ERROR")</f>
        <v>7080</v>
      </c>
      <c r="O30" s="112">
        <f>IFERROR(VLOOKUP($B30,MMWR_TRAD_AGG_STATE_COMP[],O$1,0),"ERROR")</f>
        <v>4886</v>
      </c>
      <c r="P30" s="114">
        <f t="shared" si="3"/>
        <v>0.6901129943502825</v>
      </c>
      <c r="Q30" s="115">
        <f>IFERROR(VLOOKUP($B30,MMWR_TRAD_AGG_STATE_COMP[],Q$1,0),"ERROR")</f>
        <v>620</v>
      </c>
      <c r="R30" s="115">
        <f>IFERROR(VLOOKUP($B30,MMWR_TRAD_AGG_STATE_COMP[],R$1,0),"ERROR")</f>
        <v>84</v>
      </c>
      <c r="S30" s="115">
        <f>IFERROR(VLOOKUP($B30,MMWR_APP_STATE_COMP[],S$1,0),"ERROR")</f>
        <v>6839</v>
      </c>
      <c r="T30" s="28"/>
    </row>
    <row r="31" spans="1:20" s="123" customFormat="1" x14ac:dyDescent="0.2">
      <c r="A31" s="107"/>
      <c r="B31" s="127" t="s">
        <v>407</v>
      </c>
      <c r="C31" s="109">
        <f>IFERROR(VLOOKUP($B31,MMWR_TRAD_AGG_STATE_COMP[],C$1,0),"ERROR")</f>
        <v>1386</v>
      </c>
      <c r="D31" s="110">
        <f>IFERROR(VLOOKUP($B31,MMWR_TRAD_AGG_STATE_COMP[],D$1,0),"ERROR")</f>
        <v>217.73593073590001</v>
      </c>
      <c r="E31" s="111">
        <f>IFERROR(VLOOKUP($B31,MMWR_TRAD_AGG_STATE_COMP[],E$1,0),"ERROR")</f>
        <v>2160</v>
      </c>
      <c r="F31" s="112">
        <f>IFERROR(VLOOKUP($B31,MMWR_TRAD_AGG_STATE_COMP[],F$1,0),"ERROR")</f>
        <v>248</v>
      </c>
      <c r="G31" s="113">
        <f t="shared" si="0"/>
        <v>0.11481481481481481</v>
      </c>
      <c r="H31" s="111">
        <f>IFERROR(VLOOKUP($B31,MMWR_TRAD_AGG_STATE_COMP[],H$1,0),"ERROR")</f>
        <v>2237</v>
      </c>
      <c r="I31" s="112">
        <f>IFERROR(VLOOKUP($B31,MMWR_TRAD_AGG_STATE_COMP[],I$1,0),"ERROR")</f>
        <v>1082</v>
      </c>
      <c r="J31" s="114">
        <f t="shared" si="1"/>
        <v>0.48368350469378635</v>
      </c>
      <c r="K31" s="111">
        <f>IFERROR(VLOOKUP($B31,MMWR_TRAD_AGG_STATE_COMP[],K$1,0),"ERROR")</f>
        <v>782</v>
      </c>
      <c r="L31" s="112">
        <f>IFERROR(VLOOKUP($B31,MMWR_TRAD_AGG_STATE_COMP[],L$1,0),"ERROR")</f>
        <v>533</v>
      </c>
      <c r="M31" s="114">
        <f t="shared" si="2"/>
        <v>0.68158567774936063</v>
      </c>
      <c r="N31" s="111">
        <f>IFERROR(VLOOKUP($B31,MMWR_TRAD_AGG_STATE_COMP[],N$1,0),"ERROR")</f>
        <v>482</v>
      </c>
      <c r="O31" s="112">
        <f>IFERROR(VLOOKUP($B31,MMWR_TRAD_AGG_STATE_COMP[],O$1,0),"ERROR")</f>
        <v>203</v>
      </c>
      <c r="P31" s="114">
        <f t="shared" si="3"/>
        <v>0.42116182572614108</v>
      </c>
      <c r="Q31" s="115">
        <f>IFERROR(VLOOKUP($B31,MMWR_TRAD_AGG_STATE_COMP[],Q$1,0),"ERROR")</f>
        <v>2</v>
      </c>
      <c r="R31" s="115">
        <f>IFERROR(VLOOKUP($B31,MMWR_TRAD_AGG_STATE_COMP[],R$1,0),"ERROR")</f>
        <v>12</v>
      </c>
      <c r="S31" s="115">
        <f>IFERROR(VLOOKUP($B31,MMWR_APP_STATE_COMP[],S$1,0),"ERROR")</f>
        <v>1304</v>
      </c>
      <c r="T31" s="28"/>
    </row>
    <row r="32" spans="1:20" s="123" customFormat="1" x14ac:dyDescent="0.2">
      <c r="A32" s="107"/>
      <c r="B32" s="127" t="s">
        <v>426</v>
      </c>
      <c r="C32" s="109">
        <f>IFERROR(VLOOKUP($B32,MMWR_TRAD_AGG_STATE_COMP[],C$1,0),"ERROR")</f>
        <v>187</v>
      </c>
      <c r="D32" s="110">
        <f>IFERROR(VLOOKUP($B32,MMWR_TRAD_AGG_STATE_COMP[],D$1,0),"ERROR")</f>
        <v>288.89839572189999</v>
      </c>
      <c r="E32" s="111">
        <f>IFERROR(VLOOKUP($B32,MMWR_TRAD_AGG_STATE_COMP[],E$1,0),"ERROR")</f>
        <v>632</v>
      </c>
      <c r="F32" s="112">
        <f>IFERROR(VLOOKUP($B32,MMWR_TRAD_AGG_STATE_COMP[],F$1,0),"ERROR")</f>
        <v>101</v>
      </c>
      <c r="G32" s="113">
        <f t="shared" si="0"/>
        <v>0.15981012658227847</v>
      </c>
      <c r="H32" s="111">
        <f>IFERROR(VLOOKUP($B32,MMWR_TRAD_AGG_STATE_COMP[],H$1,0),"ERROR")</f>
        <v>357</v>
      </c>
      <c r="I32" s="112">
        <f>IFERROR(VLOOKUP($B32,MMWR_TRAD_AGG_STATE_COMP[],I$1,0),"ERROR")</f>
        <v>156</v>
      </c>
      <c r="J32" s="114">
        <f t="shared" si="1"/>
        <v>0.43697478991596639</v>
      </c>
      <c r="K32" s="111">
        <f>IFERROR(VLOOKUP($B32,MMWR_TRAD_AGG_STATE_COMP[],K$1,0),"ERROR")</f>
        <v>79</v>
      </c>
      <c r="L32" s="112">
        <f>IFERROR(VLOOKUP($B32,MMWR_TRAD_AGG_STATE_COMP[],L$1,0),"ERROR")</f>
        <v>37</v>
      </c>
      <c r="M32" s="114">
        <f t="shared" si="2"/>
        <v>0.46835443037974683</v>
      </c>
      <c r="N32" s="111">
        <f>IFERROR(VLOOKUP($B32,MMWR_TRAD_AGG_STATE_COMP[],N$1,0),"ERROR")</f>
        <v>130</v>
      </c>
      <c r="O32" s="112">
        <f>IFERROR(VLOOKUP($B32,MMWR_TRAD_AGG_STATE_COMP[],O$1,0),"ERROR")</f>
        <v>61</v>
      </c>
      <c r="P32" s="114">
        <f t="shared" si="3"/>
        <v>0.46923076923076923</v>
      </c>
      <c r="Q32" s="115">
        <f>IFERROR(VLOOKUP($B32,MMWR_TRAD_AGG_STATE_COMP[],Q$1,0),"ERROR")</f>
        <v>0</v>
      </c>
      <c r="R32" s="115">
        <f>IFERROR(VLOOKUP($B32,MMWR_TRAD_AGG_STATE_COMP[],R$1,0),"ERROR")</f>
        <v>0</v>
      </c>
      <c r="S32" s="115">
        <f>IFERROR(VLOOKUP($B32,MMWR_APP_STATE_COMP[],S$1,0),"ERROR")</f>
        <v>444</v>
      </c>
      <c r="T32" s="28"/>
    </row>
    <row r="33" spans="1:20" s="123" customFormat="1" x14ac:dyDescent="0.2">
      <c r="A33" s="107"/>
      <c r="B33" s="127" t="s">
        <v>398</v>
      </c>
      <c r="C33" s="109">
        <f>IFERROR(VLOOKUP($B33,MMWR_TRAD_AGG_STATE_COMP[],C$1,0),"ERROR")</f>
        <v>7730</v>
      </c>
      <c r="D33" s="110">
        <f>IFERROR(VLOOKUP($B33,MMWR_TRAD_AGG_STATE_COMP[],D$1,0),"ERROR")</f>
        <v>436.29909443730003</v>
      </c>
      <c r="E33" s="111">
        <f>IFERROR(VLOOKUP($B33,MMWR_TRAD_AGG_STATE_COMP[],E$1,0),"ERROR")</f>
        <v>8996</v>
      </c>
      <c r="F33" s="112">
        <f>IFERROR(VLOOKUP($B33,MMWR_TRAD_AGG_STATE_COMP[],F$1,0),"ERROR")</f>
        <v>2221</v>
      </c>
      <c r="G33" s="113">
        <f t="shared" si="0"/>
        <v>0.2468875055580258</v>
      </c>
      <c r="H33" s="111">
        <f>IFERROR(VLOOKUP($B33,MMWR_TRAD_AGG_STATE_COMP[],H$1,0),"ERROR")</f>
        <v>12587</v>
      </c>
      <c r="I33" s="112">
        <f>IFERROR(VLOOKUP($B33,MMWR_TRAD_AGG_STATE_COMP[],I$1,0),"ERROR")</f>
        <v>7423</v>
      </c>
      <c r="J33" s="114">
        <f t="shared" si="1"/>
        <v>0.58973544132835465</v>
      </c>
      <c r="K33" s="111">
        <f>IFERROR(VLOOKUP($B33,MMWR_TRAD_AGG_STATE_COMP[],K$1,0),"ERROR")</f>
        <v>1731</v>
      </c>
      <c r="L33" s="112">
        <f>IFERROR(VLOOKUP($B33,MMWR_TRAD_AGG_STATE_COMP[],L$1,0),"ERROR")</f>
        <v>1024</v>
      </c>
      <c r="M33" s="114">
        <f t="shared" si="2"/>
        <v>0.59156556903523971</v>
      </c>
      <c r="N33" s="111">
        <f>IFERROR(VLOOKUP($B33,MMWR_TRAD_AGG_STATE_COMP[],N$1,0),"ERROR")</f>
        <v>3937</v>
      </c>
      <c r="O33" s="112">
        <f>IFERROR(VLOOKUP($B33,MMWR_TRAD_AGG_STATE_COMP[],O$1,0),"ERROR")</f>
        <v>1806</v>
      </c>
      <c r="P33" s="114">
        <f t="shared" si="3"/>
        <v>0.4587249174498349</v>
      </c>
      <c r="Q33" s="115">
        <f>IFERROR(VLOOKUP($B33,MMWR_TRAD_AGG_STATE_COMP[],Q$1,0),"ERROR")</f>
        <v>705</v>
      </c>
      <c r="R33" s="115">
        <f>IFERROR(VLOOKUP($B33,MMWR_TRAD_AGG_STATE_COMP[],R$1,0),"ERROR")</f>
        <v>331</v>
      </c>
      <c r="S33" s="115">
        <f>IFERROR(VLOOKUP($B33,MMWR_APP_STATE_COMP[],S$1,0),"ERROR")</f>
        <v>13826</v>
      </c>
      <c r="T33" s="28"/>
    </row>
    <row r="34" spans="1:20" s="123" customFormat="1" x14ac:dyDescent="0.2">
      <c r="A34" s="107"/>
      <c r="B34" s="127" t="s">
        <v>427</v>
      </c>
      <c r="C34" s="109">
        <f>IFERROR(VLOOKUP($B34,MMWR_TRAD_AGG_STATE_COMP[],C$1,0),"ERROR")</f>
        <v>393</v>
      </c>
      <c r="D34" s="110">
        <f>IFERROR(VLOOKUP($B34,MMWR_TRAD_AGG_STATE_COMP[],D$1,0),"ERROR")</f>
        <v>246.3256997455</v>
      </c>
      <c r="E34" s="111">
        <f>IFERROR(VLOOKUP($B34,MMWR_TRAD_AGG_STATE_COMP[],E$1,0),"ERROR")</f>
        <v>819</v>
      </c>
      <c r="F34" s="112">
        <f>IFERROR(VLOOKUP($B34,MMWR_TRAD_AGG_STATE_COMP[],F$1,0),"ERROR")</f>
        <v>168</v>
      </c>
      <c r="G34" s="113">
        <f t="shared" si="0"/>
        <v>0.20512820512820512</v>
      </c>
      <c r="H34" s="111">
        <f>IFERROR(VLOOKUP($B34,MMWR_TRAD_AGG_STATE_COMP[],H$1,0),"ERROR")</f>
        <v>883</v>
      </c>
      <c r="I34" s="112">
        <f>IFERROR(VLOOKUP($B34,MMWR_TRAD_AGG_STATE_COMP[],I$1,0),"ERROR")</f>
        <v>275</v>
      </c>
      <c r="J34" s="114">
        <f t="shared" si="1"/>
        <v>0.3114382785956965</v>
      </c>
      <c r="K34" s="111">
        <f>IFERROR(VLOOKUP($B34,MMWR_TRAD_AGG_STATE_COMP[],K$1,0),"ERROR")</f>
        <v>341</v>
      </c>
      <c r="L34" s="112">
        <f>IFERROR(VLOOKUP($B34,MMWR_TRAD_AGG_STATE_COMP[],L$1,0),"ERROR")</f>
        <v>160</v>
      </c>
      <c r="M34" s="114">
        <f t="shared" si="2"/>
        <v>0.46920821114369504</v>
      </c>
      <c r="N34" s="111">
        <f>IFERROR(VLOOKUP($B34,MMWR_TRAD_AGG_STATE_COMP[],N$1,0),"ERROR")</f>
        <v>113</v>
      </c>
      <c r="O34" s="112">
        <f>IFERROR(VLOOKUP($B34,MMWR_TRAD_AGG_STATE_COMP[],O$1,0),"ERROR")</f>
        <v>57</v>
      </c>
      <c r="P34" s="114">
        <f t="shared" si="3"/>
        <v>0.50442477876106195</v>
      </c>
      <c r="Q34" s="115">
        <f>IFERROR(VLOOKUP($B34,MMWR_TRAD_AGG_STATE_COMP[],Q$1,0),"ERROR")</f>
        <v>1</v>
      </c>
      <c r="R34" s="115">
        <f>IFERROR(VLOOKUP($B34,MMWR_TRAD_AGG_STATE_COMP[],R$1,0),"ERROR")</f>
        <v>1</v>
      </c>
      <c r="S34" s="115">
        <f>IFERROR(VLOOKUP($B34,MMWR_APP_STATE_COMP[],S$1,0),"ERROR")</f>
        <v>192</v>
      </c>
      <c r="T34" s="28"/>
    </row>
    <row r="35" spans="1:20" s="123" customFormat="1" x14ac:dyDescent="0.2">
      <c r="A35" s="107"/>
      <c r="B35" s="127" t="s">
        <v>403</v>
      </c>
      <c r="C35" s="109">
        <f>IFERROR(VLOOKUP($B35,MMWR_TRAD_AGG_STATE_COMP[],C$1,0),"ERROR")</f>
        <v>4121</v>
      </c>
      <c r="D35" s="110">
        <f>IFERROR(VLOOKUP($B35,MMWR_TRAD_AGG_STATE_COMP[],D$1,0),"ERROR")</f>
        <v>283.96190245090003</v>
      </c>
      <c r="E35" s="111">
        <f>IFERROR(VLOOKUP($B35,MMWR_TRAD_AGG_STATE_COMP[],E$1,0),"ERROR")</f>
        <v>4003</v>
      </c>
      <c r="F35" s="112">
        <f>IFERROR(VLOOKUP($B35,MMWR_TRAD_AGG_STATE_COMP[],F$1,0),"ERROR")</f>
        <v>759</v>
      </c>
      <c r="G35" s="113">
        <f t="shared" si="0"/>
        <v>0.18960779415438422</v>
      </c>
      <c r="H35" s="111">
        <f>IFERROR(VLOOKUP($B35,MMWR_TRAD_AGG_STATE_COMP[],H$1,0),"ERROR")</f>
        <v>6305</v>
      </c>
      <c r="I35" s="112">
        <f>IFERROR(VLOOKUP($B35,MMWR_TRAD_AGG_STATE_COMP[],I$1,0),"ERROR")</f>
        <v>3326</v>
      </c>
      <c r="J35" s="114">
        <f t="shared" si="1"/>
        <v>0.52751784298176052</v>
      </c>
      <c r="K35" s="111">
        <f>IFERROR(VLOOKUP($B35,MMWR_TRAD_AGG_STATE_COMP[],K$1,0),"ERROR")</f>
        <v>614</v>
      </c>
      <c r="L35" s="112">
        <f>IFERROR(VLOOKUP($B35,MMWR_TRAD_AGG_STATE_COMP[],L$1,0),"ERROR")</f>
        <v>371</v>
      </c>
      <c r="M35" s="114">
        <f t="shared" si="2"/>
        <v>0.60423452768729646</v>
      </c>
      <c r="N35" s="111">
        <f>IFERROR(VLOOKUP($B35,MMWR_TRAD_AGG_STATE_COMP[],N$1,0),"ERROR")</f>
        <v>790</v>
      </c>
      <c r="O35" s="112">
        <f>IFERROR(VLOOKUP($B35,MMWR_TRAD_AGG_STATE_COMP[],O$1,0),"ERROR")</f>
        <v>377</v>
      </c>
      <c r="P35" s="114">
        <f t="shared" si="3"/>
        <v>0.47721518987341771</v>
      </c>
      <c r="Q35" s="115">
        <f>IFERROR(VLOOKUP($B35,MMWR_TRAD_AGG_STATE_COMP[],Q$1,0),"ERROR")</f>
        <v>411</v>
      </c>
      <c r="R35" s="115">
        <f>IFERROR(VLOOKUP($B35,MMWR_TRAD_AGG_STATE_COMP[],R$1,0),"ERROR")</f>
        <v>6</v>
      </c>
      <c r="S35" s="115">
        <f>IFERROR(VLOOKUP($B35,MMWR_APP_STATE_COMP[],S$1,0),"ERROR")</f>
        <v>3468</v>
      </c>
      <c r="T35" s="28"/>
    </row>
    <row r="36" spans="1:20" s="123" customFormat="1" x14ac:dyDescent="0.2">
      <c r="A36" s="28"/>
      <c r="B36" s="126" t="s">
        <v>392</v>
      </c>
      <c r="C36" s="102">
        <f>IF(SUM(C37:C45)&lt;&gt;VLOOKUP($B36,MMWR_TRAD_AGG_ST_DISTRICT_COMP[],C$1,0),"ERROR",
VLOOKUP($B36,MMWR_TRAD_AGG_ST_DISTRICT_COMP[],C$1,0))</f>
        <v>61144</v>
      </c>
      <c r="D36" s="103">
        <f>IFERROR(VLOOKUP($B36,MMWR_TRAD_AGG_ST_DISTRICT_COMP[],D$1,0),"ERROR")</f>
        <v>363.0050536439</v>
      </c>
      <c r="E36" s="102">
        <f>IFERROR(VLOOKUP($B36,MMWR_TRAD_AGG_ST_DISTRICT_COMP[],E$1,0),"ERROR")</f>
        <v>67616</v>
      </c>
      <c r="F36" s="102">
        <f>IFERROR(VLOOKUP($B36,MMWR_TRAD_AGG_ST_DISTRICT_COMP[],F$1,0),"ERROR")</f>
        <v>14312</v>
      </c>
      <c r="G36" s="104">
        <f t="shared" si="0"/>
        <v>0.21166587789872218</v>
      </c>
      <c r="H36" s="102">
        <f>IFERROR(VLOOKUP($B36,MMWR_TRAD_AGG_ST_DISTRICT_COMP[],H$1,0),"ERROR")</f>
        <v>86860</v>
      </c>
      <c r="I36" s="102">
        <f>IFERROR(VLOOKUP($B36,MMWR_TRAD_AGG_ST_DISTRICT_COMP[],I$1,0),"ERROR")</f>
        <v>54652</v>
      </c>
      <c r="J36" s="105">
        <f t="shared" si="1"/>
        <v>0.62919640801289434</v>
      </c>
      <c r="K36" s="102">
        <f>IFERROR(VLOOKUP($B36,MMWR_TRAD_AGG_ST_DISTRICT_COMP[],K$1,0),"ERROR")</f>
        <v>18019</v>
      </c>
      <c r="L36" s="102">
        <f>IFERROR(VLOOKUP($B36,MMWR_TRAD_AGG_ST_DISTRICT_COMP[],L$1,0),"ERROR")</f>
        <v>10526</v>
      </c>
      <c r="M36" s="105">
        <f t="shared" si="2"/>
        <v>0.58416116321660472</v>
      </c>
      <c r="N36" s="102">
        <f>IFERROR(VLOOKUP($B36,MMWR_TRAD_AGG_ST_DISTRICT_COMP[],N$1,0),"ERROR")</f>
        <v>21034</v>
      </c>
      <c r="O36" s="102">
        <f>IFERROR(VLOOKUP($B36,MMWR_TRAD_AGG_ST_DISTRICT_COMP[],O$1,0),"ERROR")</f>
        <v>10999</v>
      </c>
      <c r="P36" s="105">
        <f t="shared" si="3"/>
        <v>0.52291528002282017</v>
      </c>
      <c r="Q36" s="102">
        <f>IFERROR(VLOOKUP($B36,MMWR_TRAD_AGG_ST_DISTRICT_COMP[],Q$1,0),"ERROR")</f>
        <v>928</v>
      </c>
      <c r="R36" s="106">
        <f>IFERROR(VLOOKUP($B36,MMWR_TRAD_AGG_ST_DISTRICT_COMP[],R$1,0),"ERROR")</f>
        <v>1074</v>
      </c>
      <c r="S36" s="106">
        <f>SUM(S37:S45)</f>
        <v>68699</v>
      </c>
      <c r="T36" s="28"/>
    </row>
    <row r="37" spans="1:20" s="123" customFormat="1" x14ac:dyDescent="0.2">
      <c r="A37" s="28"/>
      <c r="B37" s="127" t="s">
        <v>418</v>
      </c>
      <c r="C37" s="109">
        <f>IFERROR(VLOOKUP($B37,MMWR_TRAD_AGG_STATE_COMP[],C$1,0),"ERROR")</f>
        <v>5391</v>
      </c>
      <c r="D37" s="110">
        <f>IFERROR(VLOOKUP($B37,MMWR_TRAD_AGG_STATE_COMP[],D$1,0),"ERROR")</f>
        <v>366.54590984970002</v>
      </c>
      <c r="E37" s="111">
        <f>IFERROR(VLOOKUP($B37,MMWR_TRAD_AGG_STATE_COMP[],E$1,0),"ERROR")</f>
        <v>3707</v>
      </c>
      <c r="F37" s="112">
        <f>IFERROR(VLOOKUP($B37,MMWR_TRAD_AGG_STATE_COMP[],F$1,0),"ERROR")</f>
        <v>630</v>
      </c>
      <c r="G37" s="113">
        <f t="shared" si="0"/>
        <v>0.16994874561640141</v>
      </c>
      <c r="H37" s="111">
        <f>IFERROR(VLOOKUP($B37,MMWR_TRAD_AGG_STATE_COMP[],H$1,0),"ERROR")</f>
        <v>7089</v>
      </c>
      <c r="I37" s="112">
        <f>IFERROR(VLOOKUP($B37,MMWR_TRAD_AGG_STATE_COMP[],I$1,0),"ERROR")</f>
        <v>4803</v>
      </c>
      <c r="J37" s="114">
        <f t="shared" si="1"/>
        <v>0.67752856538298778</v>
      </c>
      <c r="K37" s="111">
        <f>IFERROR(VLOOKUP($B37,MMWR_TRAD_AGG_STATE_COMP[],K$1,0),"ERROR")</f>
        <v>1935</v>
      </c>
      <c r="L37" s="112">
        <f>IFERROR(VLOOKUP($B37,MMWR_TRAD_AGG_STATE_COMP[],L$1,0),"ERROR")</f>
        <v>1510</v>
      </c>
      <c r="M37" s="114">
        <f t="shared" si="2"/>
        <v>0.78036175710594313</v>
      </c>
      <c r="N37" s="111">
        <f>IFERROR(VLOOKUP($B37,MMWR_TRAD_AGG_STATE_COMP[],N$1,0),"ERROR")</f>
        <v>1752</v>
      </c>
      <c r="O37" s="112">
        <f>IFERROR(VLOOKUP($B37,MMWR_TRAD_AGG_STATE_COMP[],O$1,0),"ERROR")</f>
        <v>738</v>
      </c>
      <c r="P37" s="114">
        <f t="shared" si="3"/>
        <v>0.42123287671232879</v>
      </c>
      <c r="Q37" s="115">
        <f>IFERROR(VLOOKUP($B37,MMWR_TRAD_AGG_STATE_COMP[],Q$1,0),"ERROR")</f>
        <v>322</v>
      </c>
      <c r="R37" s="115">
        <f>IFERROR(VLOOKUP($B37,MMWR_TRAD_AGG_STATE_COMP[],R$1,0),"ERROR")</f>
        <v>136</v>
      </c>
      <c r="S37" s="115">
        <f>IFERROR(VLOOKUP($B37,MMWR_APP_STATE_COMP[],S$1,0),"ERROR")</f>
        <v>5299</v>
      </c>
      <c r="T37" s="28"/>
    </row>
    <row r="38" spans="1:20" s="123" customFormat="1" x14ac:dyDescent="0.2">
      <c r="A38" s="28"/>
      <c r="B38" s="127" t="s">
        <v>410</v>
      </c>
      <c r="C38" s="109">
        <f>IFERROR(VLOOKUP($B38,MMWR_TRAD_AGG_STATE_COMP[],C$1,0),"ERROR")</f>
        <v>7014</v>
      </c>
      <c r="D38" s="110">
        <f>IFERROR(VLOOKUP($B38,MMWR_TRAD_AGG_STATE_COMP[],D$1,0),"ERROR")</f>
        <v>380.30325064160002</v>
      </c>
      <c r="E38" s="111">
        <f>IFERROR(VLOOKUP($B38,MMWR_TRAD_AGG_STATE_COMP[],E$1,0),"ERROR")</f>
        <v>7327</v>
      </c>
      <c r="F38" s="112">
        <f>IFERROR(VLOOKUP($B38,MMWR_TRAD_AGG_STATE_COMP[],F$1,0),"ERROR")</f>
        <v>1788</v>
      </c>
      <c r="G38" s="113">
        <f t="shared" ref="G38:G64" si="4">IFERROR(F38/E38,"0%")</f>
        <v>0.24402893407943224</v>
      </c>
      <c r="H38" s="111">
        <f>IFERROR(VLOOKUP($B38,MMWR_TRAD_AGG_STATE_COMP[],H$1,0),"ERROR")</f>
        <v>10395</v>
      </c>
      <c r="I38" s="112">
        <f>IFERROR(VLOOKUP($B38,MMWR_TRAD_AGG_STATE_COMP[],I$1,0),"ERROR")</f>
        <v>6632</v>
      </c>
      <c r="J38" s="114">
        <f t="shared" ref="J38:J64" si="5">IFERROR(I38/H38,"0%")</f>
        <v>0.63799903799903801</v>
      </c>
      <c r="K38" s="111">
        <f>IFERROR(VLOOKUP($B38,MMWR_TRAD_AGG_STATE_COMP[],K$1,0),"ERROR")</f>
        <v>2517</v>
      </c>
      <c r="L38" s="112">
        <f>IFERROR(VLOOKUP($B38,MMWR_TRAD_AGG_STATE_COMP[],L$1,0),"ERROR")</f>
        <v>1724</v>
      </c>
      <c r="M38" s="114">
        <f t="shared" ref="M38:M64" si="6">IFERROR(L38/K38,"0%")</f>
        <v>0.68494239173619387</v>
      </c>
      <c r="N38" s="111">
        <f>IFERROR(VLOOKUP($B38,MMWR_TRAD_AGG_STATE_COMP[],N$1,0),"ERROR")</f>
        <v>1466</v>
      </c>
      <c r="O38" s="112">
        <f>IFERROR(VLOOKUP($B38,MMWR_TRAD_AGG_STATE_COMP[],O$1,0),"ERROR")</f>
        <v>695</v>
      </c>
      <c r="P38" s="114">
        <f t="shared" ref="P38:P64" si="7">IFERROR(O38/N38,"0%")</f>
        <v>0.47407912687585269</v>
      </c>
      <c r="Q38" s="115">
        <f>IFERROR(VLOOKUP($B38,MMWR_TRAD_AGG_STATE_COMP[],Q$1,0),"ERROR")</f>
        <v>11</v>
      </c>
      <c r="R38" s="115">
        <f>IFERROR(VLOOKUP($B38,MMWR_TRAD_AGG_STATE_COMP[],R$1,0),"ERROR")</f>
        <v>63</v>
      </c>
      <c r="S38" s="115">
        <f>IFERROR(VLOOKUP($B38,MMWR_APP_STATE_COMP[],S$1,0),"ERROR")</f>
        <v>6353</v>
      </c>
      <c r="T38" s="28"/>
    </row>
    <row r="39" spans="1:20" s="123" customFormat="1" x14ac:dyDescent="0.2">
      <c r="A39" s="28"/>
      <c r="B39" s="127" t="s">
        <v>394</v>
      </c>
      <c r="C39" s="109">
        <f>IFERROR(VLOOKUP($B39,MMWR_TRAD_AGG_STATE_COMP[],C$1,0),"ERROR")</f>
        <v>5847</v>
      </c>
      <c r="D39" s="110">
        <f>IFERROR(VLOOKUP($B39,MMWR_TRAD_AGG_STATE_COMP[],D$1,0),"ERROR")</f>
        <v>434.2266119377</v>
      </c>
      <c r="E39" s="111">
        <f>IFERROR(VLOOKUP($B39,MMWR_TRAD_AGG_STATE_COMP[],E$1,0),"ERROR")</f>
        <v>5905</v>
      </c>
      <c r="F39" s="112">
        <f>IFERROR(VLOOKUP($B39,MMWR_TRAD_AGG_STATE_COMP[],F$1,0),"ERROR")</f>
        <v>1101</v>
      </c>
      <c r="G39" s="113">
        <f t="shared" si="4"/>
        <v>0.18645215918712954</v>
      </c>
      <c r="H39" s="111">
        <f>IFERROR(VLOOKUP($B39,MMWR_TRAD_AGG_STATE_COMP[],H$1,0),"ERROR")</f>
        <v>8542</v>
      </c>
      <c r="I39" s="112">
        <f>IFERROR(VLOOKUP($B39,MMWR_TRAD_AGG_STATE_COMP[],I$1,0),"ERROR")</f>
        <v>5534</v>
      </c>
      <c r="J39" s="114">
        <f t="shared" si="5"/>
        <v>0.64785764457972372</v>
      </c>
      <c r="K39" s="111">
        <f>IFERROR(VLOOKUP($B39,MMWR_TRAD_AGG_STATE_COMP[],K$1,0),"ERROR")</f>
        <v>1641</v>
      </c>
      <c r="L39" s="112">
        <f>IFERROR(VLOOKUP($B39,MMWR_TRAD_AGG_STATE_COMP[],L$1,0),"ERROR")</f>
        <v>1123</v>
      </c>
      <c r="M39" s="114">
        <f t="shared" si="6"/>
        <v>0.68433881779402805</v>
      </c>
      <c r="N39" s="111">
        <f>IFERROR(VLOOKUP($B39,MMWR_TRAD_AGG_STATE_COMP[],N$1,0),"ERROR")</f>
        <v>1841</v>
      </c>
      <c r="O39" s="112">
        <f>IFERROR(VLOOKUP($B39,MMWR_TRAD_AGG_STATE_COMP[],O$1,0),"ERROR")</f>
        <v>962</v>
      </c>
      <c r="P39" s="114">
        <f t="shared" si="7"/>
        <v>0.52254209668658336</v>
      </c>
      <c r="Q39" s="115">
        <f>IFERROR(VLOOKUP($B39,MMWR_TRAD_AGG_STATE_COMP[],Q$1,0),"ERROR")</f>
        <v>251</v>
      </c>
      <c r="R39" s="115">
        <f>IFERROR(VLOOKUP($B39,MMWR_TRAD_AGG_STATE_COMP[],R$1,0),"ERROR")</f>
        <v>247</v>
      </c>
      <c r="S39" s="115">
        <f>IFERROR(VLOOKUP($B39,MMWR_APP_STATE_COMP[],S$1,0),"ERROR")</f>
        <v>5870</v>
      </c>
      <c r="T39" s="28"/>
    </row>
    <row r="40" spans="1:20" s="123" customFormat="1" x14ac:dyDescent="0.2">
      <c r="A40" s="28"/>
      <c r="B40" s="127" t="s">
        <v>396</v>
      </c>
      <c r="C40" s="109">
        <f>IFERROR(VLOOKUP($B40,MMWR_TRAD_AGG_STATE_COMP[],C$1,0),"ERROR")</f>
        <v>5059</v>
      </c>
      <c r="D40" s="110">
        <f>IFERROR(VLOOKUP($B40,MMWR_TRAD_AGG_STATE_COMP[],D$1,0),"ERROR")</f>
        <v>396.83297094289998</v>
      </c>
      <c r="E40" s="111">
        <f>IFERROR(VLOOKUP($B40,MMWR_TRAD_AGG_STATE_COMP[],E$1,0),"ERROR")</f>
        <v>4505</v>
      </c>
      <c r="F40" s="112">
        <f>IFERROR(VLOOKUP($B40,MMWR_TRAD_AGG_STATE_COMP[],F$1,0),"ERROR")</f>
        <v>1179</v>
      </c>
      <c r="G40" s="113">
        <f t="shared" si="4"/>
        <v>0.26170921198668146</v>
      </c>
      <c r="H40" s="111">
        <f>IFERROR(VLOOKUP($B40,MMWR_TRAD_AGG_STATE_COMP[],H$1,0),"ERROR")</f>
        <v>7492</v>
      </c>
      <c r="I40" s="112">
        <f>IFERROR(VLOOKUP($B40,MMWR_TRAD_AGG_STATE_COMP[],I$1,0),"ERROR")</f>
        <v>5078</v>
      </c>
      <c r="J40" s="114">
        <f t="shared" si="5"/>
        <v>0.67778964228510408</v>
      </c>
      <c r="K40" s="111">
        <f>IFERROR(VLOOKUP($B40,MMWR_TRAD_AGG_STATE_COMP[],K$1,0),"ERROR")</f>
        <v>1338</v>
      </c>
      <c r="L40" s="112">
        <f>IFERROR(VLOOKUP($B40,MMWR_TRAD_AGG_STATE_COMP[],L$1,0),"ERROR")</f>
        <v>951</v>
      </c>
      <c r="M40" s="114">
        <f t="shared" si="6"/>
        <v>0.71076233183856508</v>
      </c>
      <c r="N40" s="111">
        <f>IFERROR(VLOOKUP($B40,MMWR_TRAD_AGG_STATE_COMP[],N$1,0),"ERROR")</f>
        <v>2505</v>
      </c>
      <c r="O40" s="112">
        <f>IFERROR(VLOOKUP($B40,MMWR_TRAD_AGG_STATE_COMP[],O$1,0),"ERROR")</f>
        <v>1749</v>
      </c>
      <c r="P40" s="114">
        <f t="shared" si="7"/>
        <v>0.69820359281437128</v>
      </c>
      <c r="Q40" s="115">
        <f>IFERROR(VLOOKUP($B40,MMWR_TRAD_AGG_STATE_COMP[],Q$1,0),"ERROR")</f>
        <v>305</v>
      </c>
      <c r="R40" s="115">
        <f>IFERROR(VLOOKUP($B40,MMWR_TRAD_AGG_STATE_COMP[],R$1,0),"ERROR")</f>
        <v>152</v>
      </c>
      <c r="S40" s="115">
        <f>IFERROR(VLOOKUP($B40,MMWR_APP_STATE_COMP[],S$1,0),"ERROR")</f>
        <v>4828</v>
      </c>
      <c r="T40" s="28"/>
    </row>
    <row r="41" spans="1:20" s="123" customFormat="1" x14ac:dyDescent="0.2">
      <c r="A41" s="28"/>
      <c r="B41" s="127" t="s">
        <v>425</v>
      </c>
      <c r="C41" s="109">
        <f>IFERROR(VLOOKUP($B41,MMWR_TRAD_AGG_STATE_COMP[],C$1,0),"ERROR")</f>
        <v>924</v>
      </c>
      <c r="D41" s="110">
        <f>IFERROR(VLOOKUP($B41,MMWR_TRAD_AGG_STATE_COMP[],D$1,0),"ERROR")</f>
        <v>249.32359307359999</v>
      </c>
      <c r="E41" s="111">
        <f>IFERROR(VLOOKUP($B41,MMWR_TRAD_AGG_STATE_COMP[],E$1,0),"ERROR")</f>
        <v>755</v>
      </c>
      <c r="F41" s="112">
        <f>IFERROR(VLOOKUP($B41,MMWR_TRAD_AGG_STATE_COMP[],F$1,0),"ERROR")</f>
        <v>88</v>
      </c>
      <c r="G41" s="113">
        <f t="shared" si="4"/>
        <v>0.11655629139072848</v>
      </c>
      <c r="H41" s="111">
        <f>IFERROR(VLOOKUP($B41,MMWR_TRAD_AGG_STATE_COMP[],H$1,0),"ERROR")</f>
        <v>1469</v>
      </c>
      <c r="I41" s="112">
        <f>IFERROR(VLOOKUP($B41,MMWR_TRAD_AGG_STATE_COMP[],I$1,0),"ERROR")</f>
        <v>694</v>
      </c>
      <c r="J41" s="114">
        <f t="shared" si="5"/>
        <v>0.47243022464261403</v>
      </c>
      <c r="K41" s="111">
        <f>IFERROR(VLOOKUP($B41,MMWR_TRAD_AGG_STATE_COMP[],K$1,0),"ERROR")</f>
        <v>471</v>
      </c>
      <c r="L41" s="112">
        <f>IFERROR(VLOOKUP($B41,MMWR_TRAD_AGG_STATE_COMP[],L$1,0),"ERROR")</f>
        <v>218</v>
      </c>
      <c r="M41" s="114">
        <f t="shared" si="6"/>
        <v>0.46284501061571126</v>
      </c>
      <c r="N41" s="111">
        <f>IFERROR(VLOOKUP($B41,MMWR_TRAD_AGG_STATE_COMP[],N$1,0),"ERROR")</f>
        <v>252</v>
      </c>
      <c r="O41" s="112">
        <f>IFERROR(VLOOKUP($B41,MMWR_TRAD_AGG_STATE_COMP[],O$1,0),"ERROR")</f>
        <v>103</v>
      </c>
      <c r="P41" s="114">
        <f t="shared" si="7"/>
        <v>0.40873015873015872</v>
      </c>
      <c r="Q41" s="115">
        <f>IFERROR(VLOOKUP($B41,MMWR_TRAD_AGG_STATE_COMP[],Q$1,0),"ERROR")</f>
        <v>2</v>
      </c>
      <c r="R41" s="115">
        <f>IFERROR(VLOOKUP($B41,MMWR_TRAD_AGG_STATE_COMP[],R$1,0),"ERROR")</f>
        <v>5</v>
      </c>
      <c r="S41" s="115">
        <f>IFERROR(VLOOKUP($B41,MMWR_APP_STATE_COMP[],S$1,0),"ERROR")</f>
        <v>407</v>
      </c>
      <c r="T41" s="28"/>
    </row>
    <row r="42" spans="1:20" s="123" customFormat="1" x14ac:dyDescent="0.2">
      <c r="A42" s="28"/>
      <c r="B42" s="127" t="s">
        <v>419</v>
      </c>
      <c r="C42" s="109">
        <f>IFERROR(VLOOKUP($B42,MMWR_TRAD_AGG_STATE_COMP[],C$1,0),"ERROR")</f>
        <v>3261</v>
      </c>
      <c r="D42" s="110">
        <f>IFERROR(VLOOKUP($B42,MMWR_TRAD_AGG_STATE_COMP[],D$1,0),"ERROR")</f>
        <v>324.5311254216</v>
      </c>
      <c r="E42" s="111">
        <f>IFERROR(VLOOKUP($B42,MMWR_TRAD_AGG_STATE_COMP[],E$1,0),"ERROR")</f>
        <v>6475</v>
      </c>
      <c r="F42" s="112">
        <f>IFERROR(VLOOKUP($B42,MMWR_TRAD_AGG_STATE_COMP[],F$1,0),"ERROR")</f>
        <v>1029</v>
      </c>
      <c r="G42" s="113">
        <f t="shared" si="4"/>
        <v>0.15891891891891891</v>
      </c>
      <c r="H42" s="111">
        <f>IFERROR(VLOOKUP($B42,MMWR_TRAD_AGG_STATE_COMP[],H$1,0),"ERROR")</f>
        <v>5304</v>
      </c>
      <c r="I42" s="112">
        <f>IFERROR(VLOOKUP($B42,MMWR_TRAD_AGG_STATE_COMP[],I$1,0),"ERROR")</f>
        <v>2813</v>
      </c>
      <c r="J42" s="114">
        <f t="shared" si="5"/>
        <v>0.53035444947209653</v>
      </c>
      <c r="K42" s="111">
        <f>IFERROR(VLOOKUP($B42,MMWR_TRAD_AGG_STATE_COMP[],K$1,0),"ERROR")</f>
        <v>1569</v>
      </c>
      <c r="L42" s="112">
        <f>IFERROR(VLOOKUP($B42,MMWR_TRAD_AGG_STATE_COMP[],L$1,0),"ERROR")</f>
        <v>605</v>
      </c>
      <c r="M42" s="114">
        <f t="shared" si="6"/>
        <v>0.38559592096876993</v>
      </c>
      <c r="N42" s="111">
        <f>IFERROR(VLOOKUP($B42,MMWR_TRAD_AGG_STATE_COMP[],N$1,0),"ERROR")</f>
        <v>1876</v>
      </c>
      <c r="O42" s="112">
        <f>IFERROR(VLOOKUP($B42,MMWR_TRAD_AGG_STATE_COMP[],O$1,0),"ERROR")</f>
        <v>729</v>
      </c>
      <c r="P42" s="114">
        <f t="shared" si="7"/>
        <v>0.38859275053304904</v>
      </c>
      <c r="Q42" s="115">
        <f>IFERROR(VLOOKUP($B42,MMWR_TRAD_AGG_STATE_COMP[],Q$1,0),"ERROR")</f>
        <v>8</v>
      </c>
      <c r="R42" s="115">
        <f>IFERROR(VLOOKUP($B42,MMWR_TRAD_AGG_STATE_COMP[],R$1,0),"ERROR")</f>
        <v>60</v>
      </c>
      <c r="S42" s="115">
        <f>IFERROR(VLOOKUP($B42,MMWR_APP_STATE_COMP[],S$1,0),"ERROR")</f>
        <v>4637</v>
      </c>
      <c r="T42" s="28"/>
    </row>
    <row r="43" spans="1:20" s="123" customFormat="1" x14ac:dyDescent="0.2">
      <c r="A43" s="28"/>
      <c r="B43" s="127" t="s">
        <v>417</v>
      </c>
      <c r="C43" s="109">
        <f>IFERROR(VLOOKUP($B43,MMWR_TRAD_AGG_STATE_COMP[],C$1,0),"ERROR")</f>
        <v>31132</v>
      </c>
      <c r="D43" s="110">
        <f>IFERROR(VLOOKUP($B43,MMWR_TRAD_AGG_STATE_COMP[],D$1,0),"ERROR")</f>
        <v>351.70438776819998</v>
      </c>
      <c r="E43" s="111">
        <f>IFERROR(VLOOKUP($B43,MMWR_TRAD_AGG_STATE_COMP[],E$1,0),"ERROR")</f>
        <v>35854</v>
      </c>
      <c r="F43" s="112">
        <f>IFERROR(VLOOKUP($B43,MMWR_TRAD_AGG_STATE_COMP[],F$1,0),"ERROR")</f>
        <v>7831</v>
      </c>
      <c r="G43" s="113">
        <f t="shared" si="4"/>
        <v>0.21841356612930218</v>
      </c>
      <c r="H43" s="111">
        <f>IFERROR(VLOOKUP($B43,MMWR_TRAD_AGG_STATE_COMP[],H$1,0),"ERROR")</f>
        <v>42805</v>
      </c>
      <c r="I43" s="112">
        <f>IFERROR(VLOOKUP($B43,MMWR_TRAD_AGG_STATE_COMP[],I$1,0),"ERROR")</f>
        <v>26929</v>
      </c>
      <c r="J43" s="114">
        <f t="shared" si="5"/>
        <v>0.62910874897792313</v>
      </c>
      <c r="K43" s="111">
        <f>IFERROR(VLOOKUP($B43,MMWR_TRAD_AGG_STATE_COMP[],K$1,0),"ERROR")</f>
        <v>7750</v>
      </c>
      <c r="L43" s="112">
        <f>IFERROR(VLOOKUP($B43,MMWR_TRAD_AGG_STATE_COMP[],L$1,0),"ERROR")</f>
        <v>3975</v>
      </c>
      <c r="M43" s="114">
        <f t="shared" si="6"/>
        <v>0.51290322580645165</v>
      </c>
      <c r="N43" s="111">
        <f>IFERROR(VLOOKUP($B43,MMWR_TRAD_AGG_STATE_COMP[],N$1,0),"ERROR")</f>
        <v>10879</v>
      </c>
      <c r="O43" s="112">
        <f>IFERROR(VLOOKUP($B43,MMWR_TRAD_AGG_STATE_COMP[],O$1,0),"ERROR")</f>
        <v>5838</v>
      </c>
      <c r="P43" s="114">
        <f t="shared" si="7"/>
        <v>0.53663020498207559</v>
      </c>
      <c r="Q43" s="115">
        <f>IFERROR(VLOOKUP($B43,MMWR_TRAD_AGG_STATE_COMP[],Q$1,0),"ERROR")</f>
        <v>27</v>
      </c>
      <c r="R43" s="115">
        <f>IFERROR(VLOOKUP($B43,MMWR_TRAD_AGG_STATE_COMP[],R$1,0),"ERROR")</f>
        <v>404</v>
      </c>
      <c r="S43" s="115">
        <f>IFERROR(VLOOKUP($B43,MMWR_APP_STATE_COMP[],S$1,0),"ERROR")</f>
        <v>40379</v>
      </c>
      <c r="T43" s="28"/>
    </row>
    <row r="44" spans="1:20" s="123" customFormat="1" x14ac:dyDescent="0.2">
      <c r="A44" s="28"/>
      <c r="B44" s="127" t="s">
        <v>413</v>
      </c>
      <c r="C44" s="109">
        <f>IFERROR(VLOOKUP($B44,MMWR_TRAD_AGG_STATE_COMP[],C$1,0),"ERROR")</f>
        <v>1986</v>
      </c>
      <c r="D44" s="110">
        <f>IFERROR(VLOOKUP($B44,MMWR_TRAD_AGG_STATE_COMP[],D$1,0),"ERROR")</f>
        <v>306.01258811679998</v>
      </c>
      <c r="E44" s="111">
        <f>IFERROR(VLOOKUP($B44,MMWR_TRAD_AGG_STATE_COMP[],E$1,0),"ERROR")</f>
        <v>2188</v>
      </c>
      <c r="F44" s="112">
        <f>IFERROR(VLOOKUP($B44,MMWR_TRAD_AGG_STATE_COMP[],F$1,0),"ERROR")</f>
        <v>501</v>
      </c>
      <c r="G44" s="113">
        <f t="shared" si="4"/>
        <v>0.2289762340036563</v>
      </c>
      <c r="H44" s="111">
        <f>IFERROR(VLOOKUP($B44,MMWR_TRAD_AGG_STATE_COMP[],H$1,0),"ERROR")</f>
        <v>2833</v>
      </c>
      <c r="I44" s="112">
        <f>IFERROR(VLOOKUP($B44,MMWR_TRAD_AGG_STATE_COMP[],I$1,0),"ERROR")</f>
        <v>1704</v>
      </c>
      <c r="J44" s="114">
        <f t="shared" si="5"/>
        <v>0.60148252735615959</v>
      </c>
      <c r="K44" s="111">
        <f>IFERROR(VLOOKUP($B44,MMWR_TRAD_AGG_STATE_COMP[],K$1,0),"ERROR")</f>
        <v>653</v>
      </c>
      <c r="L44" s="112">
        <f>IFERROR(VLOOKUP($B44,MMWR_TRAD_AGG_STATE_COMP[],L$1,0),"ERROR")</f>
        <v>341</v>
      </c>
      <c r="M44" s="114">
        <f t="shared" si="6"/>
        <v>0.52220520673813176</v>
      </c>
      <c r="N44" s="111">
        <f>IFERROR(VLOOKUP($B44,MMWR_TRAD_AGG_STATE_COMP[],N$1,0),"ERROR")</f>
        <v>271</v>
      </c>
      <c r="O44" s="112">
        <f>IFERROR(VLOOKUP($B44,MMWR_TRAD_AGG_STATE_COMP[],O$1,0),"ERROR")</f>
        <v>113</v>
      </c>
      <c r="P44" s="114">
        <f t="shared" si="7"/>
        <v>0.41697416974169743</v>
      </c>
      <c r="Q44" s="115">
        <f>IFERROR(VLOOKUP($B44,MMWR_TRAD_AGG_STATE_COMP[],Q$1,0),"ERROR")</f>
        <v>0</v>
      </c>
      <c r="R44" s="115">
        <f>IFERROR(VLOOKUP($B44,MMWR_TRAD_AGG_STATE_COMP[],R$1,0),"ERROR")</f>
        <v>2</v>
      </c>
      <c r="S44" s="115">
        <f>IFERROR(VLOOKUP($B44,MMWR_APP_STATE_COMP[],S$1,0),"ERROR")</f>
        <v>577</v>
      </c>
      <c r="T44" s="28"/>
    </row>
    <row r="45" spans="1:20" s="123" customFormat="1" x14ac:dyDescent="0.2">
      <c r="A45" s="28"/>
      <c r="B45" s="127" t="s">
        <v>428</v>
      </c>
      <c r="C45" s="109">
        <f>IFERROR(VLOOKUP($B45,MMWR_TRAD_AGG_STATE_COMP[],C$1,0),"ERROR")</f>
        <v>530</v>
      </c>
      <c r="D45" s="110">
        <f>IFERROR(VLOOKUP($B45,MMWR_TRAD_AGG_STATE_COMP[],D$1,0),"ERROR")</f>
        <v>301.71886792449999</v>
      </c>
      <c r="E45" s="111">
        <f>IFERROR(VLOOKUP($B45,MMWR_TRAD_AGG_STATE_COMP[],E$1,0),"ERROR")</f>
        <v>900</v>
      </c>
      <c r="F45" s="112">
        <f>IFERROR(VLOOKUP($B45,MMWR_TRAD_AGG_STATE_COMP[],F$1,0),"ERROR")</f>
        <v>165</v>
      </c>
      <c r="G45" s="113">
        <f t="shared" si="4"/>
        <v>0.18333333333333332</v>
      </c>
      <c r="H45" s="111">
        <f>IFERROR(VLOOKUP($B45,MMWR_TRAD_AGG_STATE_COMP[],H$1,0),"ERROR")</f>
        <v>931</v>
      </c>
      <c r="I45" s="112">
        <f>IFERROR(VLOOKUP($B45,MMWR_TRAD_AGG_STATE_COMP[],I$1,0),"ERROR")</f>
        <v>465</v>
      </c>
      <c r="J45" s="114">
        <f t="shared" si="5"/>
        <v>0.49946294307196565</v>
      </c>
      <c r="K45" s="111">
        <f>IFERROR(VLOOKUP($B45,MMWR_TRAD_AGG_STATE_COMP[],K$1,0),"ERROR")</f>
        <v>145</v>
      </c>
      <c r="L45" s="112">
        <f>IFERROR(VLOOKUP($B45,MMWR_TRAD_AGG_STATE_COMP[],L$1,0),"ERROR")</f>
        <v>79</v>
      </c>
      <c r="M45" s="114">
        <f t="shared" si="6"/>
        <v>0.54482758620689653</v>
      </c>
      <c r="N45" s="111">
        <f>IFERROR(VLOOKUP($B45,MMWR_TRAD_AGG_STATE_COMP[],N$1,0),"ERROR")</f>
        <v>192</v>
      </c>
      <c r="O45" s="112">
        <f>IFERROR(VLOOKUP($B45,MMWR_TRAD_AGG_STATE_COMP[],O$1,0),"ERROR")</f>
        <v>72</v>
      </c>
      <c r="P45" s="114">
        <f t="shared" si="7"/>
        <v>0.375</v>
      </c>
      <c r="Q45" s="115">
        <f>IFERROR(VLOOKUP($B45,MMWR_TRAD_AGG_STATE_COMP[],Q$1,0),"ERROR")</f>
        <v>2</v>
      </c>
      <c r="R45" s="115">
        <f>IFERROR(VLOOKUP($B45,MMWR_TRAD_AGG_STATE_COMP[],R$1,0),"ERROR")</f>
        <v>5</v>
      </c>
      <c r="S45" s="115">
        <f>IFERROR(VLOOKUP($B45,MMWR_APP_STATE_COMP[],S$1,0),"ERROR")</f>
        <v>349</v>
      </c>
      <c r="T45" s="28"/>
    </row>
    <row r="46" spans="1:20" s="123" customFormat="1" x14ac:dyDescent="0.2">
      <c r="A46" s="28"/>
      <c r="B46" s="126" t="s">
        <v>411</v>
      </c>
      <c r="C46" s="102">
        <f>IFERROR(VLOOKUP($B46,MMWR_TRAD_AGG_ST_DISTRICT_COMP[],C$1,0),"ERROR")</f>
        <v>66490</v>
      </c>
      <c r="D46" s="103">
        <f>IFERROR(VLOOKUP($B46,MMWR_TRAD_AGG_ST_DISTRICT_COMP[],D$1,0),"ERROR")</f>
        <v>374.540412092</v>
      </c>
      <c r="E46" s="102">
        <f>IFERROR(VLOOKUP($B46,MMWR_TRAD_AGG_ST_DISTRICT_COMP[],E$1,0),"ERROR")</f>
        <v>59808</v>
      </c>
      <c r="F46" s="102">
        <f>IFERROR(VLOOKUP($B46,MMWR_TRAD_AGG_ST_DISTRICT_COMP[],F$1,0),"ERROR")</f>
        <v>12153</v>
      </c>
      <c r="G46" s="104">
        <f t="shared" si="4"/>
        <v>0.2032002407704655</v>
      </c>
      <c r="H46" s="102">
        <f>IFERROR(VLOOKUP($B46,MMWR_TRAD_AGG_ST_DISTRICT_COMP[],H$1,0),"ERROR")</f>
        <v>96743</v>
      </c>
      <c r="I46" s="102">
        <f>IFERROR(VLOOKUP($B46,MMWR_TRAD_AGG_ST_DISTRICT_COMP[],I$1,0),"ERROR")</f>
        <v>63698</v>
      </c>
      <c r="J46" s="105">
        <f t="shared" si="5"/>
        <v>0.65842489895909784</v>
      </c>
      <c r="K46" s="102">
        <f>IFERROR(VLOOKUP($B46,MMWR_TRAD_AGG_ST_DISTRICT_COMP[],K$1,0),"ERROR")</f>
        <v>21844</v>
      </c>
      <c r="L46" s="102">
        <f>IFERROR(VLOOKUP($B46,MMWR_TRAD_AGG_ST_DISTRICT_COMP[],L$1,0),"ERROR")</f>
        <v>14655</v>
      </c>
      <c r="M46" s="105">
        <f t="shared" si="6"/>
        <v>0.67089360922907892</v>
      </c>
      <c r="N46" s="102">
        <f>IFERROR(VLOOKUP($B46,MMWR_TRAD_AGG_ST_DISTRICT_COMP[],N$1,0),"ERROR")</f>
        <v>25854</v>
      </c>
      <c r="O46" s="102">
        <f>IFERROR(VLOOKUP($B46,MMWR_TRAD_AGG_ST_DISTRICT_COMP[],O$1,0),"ERROR")</f>
        <v>17142</v>
      </c>
      <c r="P46" s="105">
        <f t="shared" si="7"/>
        <v>0.66303086563007663</v>
      </c>
      <c r="Q46" s="102">
        <f>IFERROR(VLOOKUP($B46,MMWR_TRAD_AGG_ST_DISTRICT_COMP[],Q$1,0),"ERROR")</f>
        <v>88</v>
      </c>
      <c r="R46" s="106">
        <f>IFERROR(VLOOKUP($B46,MMWR_TRAD_AGG_ST_DISTRICT_COMP[],R$1,0),"ERROR")</f>
        <v>558</v>
      </c>
      <c r="S46" s="106">
        <f>SUM(S47:S55)</f>
        <v>43983</v>
      </c>
      <c r="T46" s="28"/>
    </row>
    <row r="47" spans="1:20" s="123" customFormat="1" x14ac:dyDescent="0.2">
      <c r="A47" s="28"/>
      <c r="B47" s="127" t="s">
        <v>431</v>
      </c>
      <c r="C47" s="109">
        <f>IFERROR(VLOOKUP($B47,MMWR_TRAD_AGG_STATE_COMP[],C$1,0),"ERROR")</f>
        <v>1949</v>
      </c>
      <c r="D47" s="110">
        <f>IFERROR(VLOOKUP($B47,MMWR_TRAD_AGG_STATE_COMP[],D$1,0),"ERROR")</f>
        <v>439.34376603390001</v>
      </c>
      <c r="E47" s="111">
        <f>IFERROR(VLOOKUP($B47,MMWR_TRAD_AGG_STATE_COMP[],E$1,0),"ERROR")</f>
        <v>1199</v>
      </c>
      <c r="F47" s="112">
        <f>IFERROR(VLOOKUP($B47,MMWR_TRAD_AGG_STATE_COMP[],F$1,0),"ERROR")</f>
        <v>314</v>
      </c>
      <c r="G47" s="113">
        <f t="shared" si="4"/>
        <v>0.26188490408673892</v>
      </c>
      <c r="H47" s="111">
        <f>IFERROR(VLOOKUP($B47,MMWR_TRAD_AGG_STATE_COMP[],H$1,0),"ERROR")</f>
        <v>2865</v>
      </c>
      <c r="I47" s="112">
        <f>IFERROR(VLOOKUP($B47,MMWR_TRAD_AGG_STATE_COMP[],I$1,0),"ERROR")</f>
        <v>1887</v>
      </c>
      <c r="J47" s="114">
        <f t="shared" si="5"/>
        <v>0.65863874345549733</v>
      </c>
      <c r="K47" s="111">
        <f>IFERROR(VLOOKUP($B47,MMWR_TRAD_AGG_STATE_COMP[],K$1,0),"ERROR")</f>
        <v>1548</v>
      </c>
      <c r="L47" s="112">
        <f>IFERROR(VLOOKUP($B47,MMWR_TRAD_AGG_STATE_COMP[],L$1,0),"ERROR")</f>
        <v>1373</v>
      </c>
      <c r="M47" s="114">
        <f t="shared" si="6"/>
        <v>0.88695090439276481</v>
      </c>
      <c r="N47" s="111">
        <f>IFERROR(VLOOKUP($B47,MMWR_TRAD_AGG_STATE_COMP[],N$1,0),"ERROR")</f>
        <v>523</v>
      </c>
      <c r="O47" s="112">
        <f>IFERROR(VLOOKUP($B47,MMWR_TRAD_AGG_STATE_COMP[],O$1,0),"ERROR")</f>
        <v>225</v>
      </c>
      <c r="P47" s="114">
        <f t="shared" si="7"/>
        <v>0.43021032504780116</v>
      </c>
      <c r="Q47" s="115">
        <f>IFERROR(VLOOKUP($B47,MMWR_TRAD_AGG_STATE_COMP[],Q$1,0),"ERROR")</f>
        <v>3</v>
      </c>
      <c r="R47" s="115">
        <f>IFERROR(VLOOKUP($B47,MMWR_TRAD_AGG_STATE_COMP[],R$1,0),"ERROR")</f>
        <v>2</v>
      </c>
      <c r="S47" s="115">
        <f>IFERROR(VLOOKUP($B47,MMWR_APP_STATE_COMP[],S$1,0),"ERROR")</f>
        <v>276</v>
      </c>
      <c r="T47" s="28"/>
    </row>
    <row r="48" spans="1:20" s="123" customFormat="1" x14ac:dyDescent="0.2">
      <c r="A48" s="28"/>
      <c r="B48" s="127" t="s">
        <v>433</v>
      </c>
      <c r="C48" s="109">
        <f>IFERROR(VLOOKUP($B48,MMWR_TRAD_AGG_STATE_COMP[],C$1,0),"ERROR")</f>
        <v>6517</v>
      </c>
      <c r="D48" s="110">
        <f>IFERROR(VLOOKUP($B48,MMWR_TRAD_AGG_STATE_COMP[],D$1,0),"ERROR")</f>
        <v>306.59291084850003</v>
      </c>
      <c r="E48" s="111">
        <f>IFERROR(VLOOKUP($B48,MMWR_TRAD_AGG_STATE_COMP[],E$1,0),"ERROR")</f>
        <v>6014</v>
      </c>
      <c r="F48" s="112">
        <f>IFERROR(VLOOKUP($B48,MMWR_TRAD_AGG_STATE_COMP[],F$1,0),"ERROR")</f>
        <v>1249</v>
      </c>
      <c r="G48" s="113">
        <f t="shared" si="4"/>
        <v>0.20768207515796475</v>
      </c>
      <c r="H48" s="111">
        <f>IFERROR(VLOOKUP($B48,MMWR_TRAD_AGG_STATE_COMP[],H$1,0),"ERROR")</f>
        <v>9199</v>
      </c>
      <c r="I48" s="112">
        <f>IFERROR(VLOOKUP($B48,MMWR_TRAD_AGG_STATE_COMP[],I$1,0),"ERROR")</f>
        <v>5441</v>
      </c>
      <c r="J48" s="114">
        <f t="shared" si="5"/>
        <v>0.59147733449287965</v>
      </c>
      <c r="K48" s="111">
        <f>IFERROR(VLOOKUP($B48,MMWR_TRAD_AGG_STATE_COMP[],K$1,0),"ERROR")</f>
        <v>1303</v>
      </c>
      <c r="L48" s="112">
        <f>IFERROR(VLOOKUP($B48,MMWR_TRAD_AGG_STATE_COMP[],L$1,0),"ERROR")</f>
        <v>560</v>
      </c>
      <c r="M48" s="114">
        <f t="shared" si="6"/>
        <v>0.42977743668457408</v>
      </c>
      <c r="N48" s="111">
        <f>IFERROR(VLOOKUP($B48,MMWR_TRAD_AGG_STATE_COMP[],N$1,0),"ERROR")</f>
        <v>3160</v>
      </c>
      <c r="O48" s="112">
        <f>IFERROR(VLOOKUP($B48,MMWR_TRAD_AGG_STATE_COMP[],O$1,0),"ERROR")</f>
        <v>2417</v>
      </c>
      <c r="P48" s="114">
        <f t="shared" si="7"/>
        <v>0.76487341772151896</v>
      </c>
      <c r="Q48" s="115">
        <f>IFERROR(VLOOKUP($B48,MMWR_TRAD_AGG_STATE_COMP[],Q$1,0),"ERROR")</f>
        <v>3</v>
      </c>
      <c r="R48" s="115">
        <f>IFERROR(VLOOKUP($B48,MMWR_TRAD_AGG_STATE_COMP[],R$1,0),"ERROR")</f>
        <v>79</v>
      </c>
      <c r="S48" s="115">
        <f>IFERROR(VLOOKUP($B48,MMWR_APP_STATE_COMP[],S$1,0),"ERROR")</f>
        <v>7243</v>
      </c>
      <c r="T48" s="28"/>
    </row>
    <row r="49" spans="1:20" s="123" customFormat="1" x14ac:dyDescent="0.2">
      <c r="A49" s="28"/>
      <c r="B49" s="127" t="s">
        <v>414</v>
      </c>
      <c r="C49" s="109">
        <f>IFERROR(VLOOKUP($B49,MMWR_TRAD_AGG_STATE_COMP[],C$1,0),"ERROR")</f>
        <v>28743</v>
      </c>
      <c r="D49" s="110">
        <f>IFERROR(VLOOKUP($B49,MMWR_TRAD_AGG_STATE_COMP[],D$1,0),"ERROR")</f>
        <v>372.44515186310002</v>
      </c>
      <c r="E49" s="111">
        <f>IFERROR(VLOOKUP($B49,MMWR_TRAD_AGG_STATE_COMP[],E$1,0),"ERROR")</f>
        <v>31264</v>
      </c>
      <c r="F49" s="112">
        <f>IFERROR(VLOOKUP($B49,MMWR_TRAD_AGG_STATE_COMP[],F$1,0),"ERROR")</f>
        <v>6114</v>
      </c>
      <c r="G49" s="113">
        <f t="shared" si="4"/>
        <v>0.19556038894575231</v>
      </c>
      <c r="H49" s="111">
        <f>IFERROR(VLOOKUP($B49,MMWR_TRAD_AGG_STATE_COMP[],H$1,0),"ERROR")</f>
        <v>42700</v>
      </c>
      <c r="I49" s="112">
        <f>IFERROR(VLOOKUP($B49,MMWR_TRAD_AGG_STATE_COMP[],I$1,0),"ERROR")</f>
        <v>28064</v>
      </c>
      <c r="J49" s="114">
        <f t="shared" si="5"/>
        <v>0.65723653395784543</v>
      </c>
      <c r="K49" s="111">
        <f>IFERROR(VLOOKUP($B49,MMWR_TRAD_AGG_STATE_COMP[],K$1,0),"ERROR")</f>
        <v>9466</v>
      </c>
      <c r="L49" s="112">
        <f>IFERROR(VLOOKUP($B49,MMWR_TRAD_AGG_STATE_COMP[],L$1,0),"ERROR")</f>
        <v>6095</v>
      </c>
      <c r="M49" s="114">
        <f t="shared" si="6"/>
        <v>0.64388337206845547</v>
      </c>
      <c r="N49" s="111">
        <f>IFERROR(VLOOKUP($B49,MMWR_TRAD_AGG_STATE_COMP[],N$1,0),"ERROR")</f>
        <v>11885</v>
      </c>
      <c r="O49" s="112">
        <f>IFERROR(VLOOKUP($B49,MMWR_TRAD_AGG_STATE_COMP[],O$1,0),"ERROR")</f>
        <v>7848</v>
      </c>
      <c r="P49" s="114">
        <f t="shared" si="7"/>
        <v>0.6603281447202356</v>
      </c>
      <c r="Q49" s="115">
        <f>IFERROR(VLOOKUP($B49,MMWR_TRAD_AGG_STATE_COMP[],Q$1,0),"ERROR")</f>
        <v>50</v>
      </c>
      <c r="R49" s="115">
        <f>IFERROR(VLOOKUP($B49,MMWR_TRAD_AGG_STATE_COMP[],R$1,0),"ERROR")</f>
        <v>131</v>
      </c>
      <c r="S49" s="115">
        <f>IFERROR(VLOOKUP($B49,MMWR_APP_STATE_COMP[],S$1,0),"ERROR")</f>
        <v>18439</v>
      </c>
      <c r="T49" s="28"/>
    </row>
    <row r="50" spans="1:20" s="123" customFormat="1" x14ac:dyDescent="0.2">
      <c r="A50" s="28"/>
      <c r="B50" s="127" t="s">
        <v>435</v>
      </c>
      <c r="C50" s="109">
        <f>IFERROR(VLOOKUP($B50,MMWR_TRAD_AGG_STATE_COMP[],C$1,0),"ERROR")</f>
        <v>1719</v>
      </c>
      <c r="D50" s="110">
        <f>IFERROR(VLOOKUP($B50,MMWR_TRAD_AGG_STATE_COMP[],D$1,0),"ERROR")</f>
        <v>300.46538685280001</v>
      </c>
      <c r="E50" s="111">
        <f>IFERROR(VLOOKUP($B50,MMWR_TRAD_AGG_STATE_COMP[],E$1,0),"ERROR")</f>
        <v>2022</v>
      </c>
      <c r="F50" s="112">
        <f>IFERROR(VLOOKUP($B50,MMWR_TRAD_AGG_STATE_COMP[],F$1,0),"ERROR")</f>
        <v>348</v>
      </c>
      <c r="G50" s="113">
        <f t="shared" si="4"/>
        <v>0.17210682492581603</v>
      </c>
      <c r="H50" s="111">
        <f>IFERROR(VLOOKUP($B50,MMWR_TRAD_AGG_STATE_COMP[],H$1,0),"ERROR")</f>
        <v>2407</v>
      </c>
      <c r="I50" s="112">
        <f>IFERROR(VLOOKUP($B50,MMWR_TRAD_AGG_STATE_COMP[],I$1,0),"ERROR")</f>
        <v>1549</v>
      </c>
      <c r="J50" s="114">
        <f t="shared" si="5"/>
        <v>0.64353967594515993</v>
      </c>
      <c r="K50" s="111">
        <f>IFERROR(VLOOKUP($B50,MMWR_TRAD_AGG_STATE_COMP[],K$1,0),"ERROR")</f>
        <v>479</v>
      </c>
      <c r="L50" s="112">
        <f>IFERROR(VLOOKUP($B50,MMWR_TRAD_AGG_STATE_COMP[],L$1,0),"ERROR")</f>
        <v>283</v>
      </c>
      <c r="M50" s="114">
        <f t="shared" si="6"/>
        <v>0.59081419624217124</v>
      </c>
      <c r="N50" s="111">
        <f>IFERROR(VLOOKUP($B50,MMWR_TRAD_AGG_STATE_COMP[],N$1,0),"ERROR")</f>
        <v>383</v>
      </c>
      <c r="O50" s="112">
        <f>IFERROR(VLOOKUP($B50,MMWR_TRAD_AGG_STATE_COMP[],O$1,0),"ERROR")</f>
        <v>195</v>
      </c>
      <c r="P50" s="114">
        <f t="shared" si="7"/>
        <v>0.50913838120104438</v>
      </c>
      <c r="Q50" s="115">
        <f>IFERROR(VLOOKUP($B50,MMWR_TRAD_AGG_STATE_COMP[],Q$1,0),"ERROR")</f>
        <v>3</v>
      </c>
      <c r="R50" s="115">
        <f>IFERROR(VLOOKUP($B50,MMWR_TRAD_AGG_STATE_COMP[],R$1,0),"ERROR")</f>
        <v>3</v>
      </c>
      <c r="S50" s="115">
        <f>IFERROR(VLOOKUP($B50,MMWR_APP_STATE_COMP[],S$1,0),"ERROR")</f>
        <v>1127</v>
      </c>
      <c r="T50" s="28"/>
    </row>
    <row r="51" spans="1:20" s="123" customFormat="1" x14ac:dyDescent="0.2">
      <c r="A51" s="28"/>
      <c r="B51" s="127" t="s">
        <v>415</v>
      </c>
      <c r="C51" s="109">
        <f>IFERROR(VLOOKUP($B51,MMWR_TRAD_AGG_STATE_COMP[],C$1,0),"ERROR")</f>
        <v>757</v>
      </c>
      <c r="D51" s="110">
        <f>IFERROR(VLOOKUP($B51,MMWR_TRAD_AGG_STATE_COMP[],D$1,0),"ERROR")</f>
        <v>287.75957727870002</v>
      </c>
      <c r="E51" s="111">
        <f>IFERROR(VLOOKUP($B51,MMWR_TRAD_AGG_STATE_COMP[],E$1,0),"ERROR")</f>
        <v>1427</v>
      </c>
      <c r="F51" s="112">
        <f>IFERROR(VLOOKUP($B51,MMWR_TRAD_AGG_STATE_COMP[],F$1,0),"ERROR")</f>
        <v>273</v>
      </c>
      <c r="G51" s="113">
        <f t="shared" si="4"/>
        <v>0.1913104414856342</v>
      </c>
      <c r="H51" s="111">
        <f>IFERROR(VLOOKUP($B51,MMWR_TRAD_AGG_STATE_COMP[],H$1,0),"ERROR")</f>
        <v>1162</v>
      </c>
      <c r="I51" s="112">
        <f>IFERROR(VLOOKUP($B51,MMWR_TRAD_AGG_STATE_COMP[],I$1,0),"ERROR")</f>
        <v>596</v>
      </c>
      <c r="J51" s="114">
        <f t="shared" si="5"/>
        <v>0.5129087779690189</v>
      </c>
      <c r="K51" s="111">
        <f>IFERROR(VLOOKUP($B51,MMWR_TRAD_AGG_STATE_COMP[],K$1,0),"ERROR")</f>
        <v>354</v>
      </c>
      <c r="L51" s="112">
        <f>IFERROR(VLOOKUP($B51,MMWR_TRAD_AGG_STATE_COMP[],L$1,0),"ERROR")</f>
        <v>129</v>
      </c>
      <c r="M51" s="114">
        <f t="shared" si="6"/>
        <v>0.36440677966101692</v>
      </c>
      <c r="N51" s="111">
        <f>IFERROR(VLOOKUP($B51,MMWR_TRAD_AGG_STATE_COMP[],N$1,0),"ERROR")</f>
        <v>332</v>
      </c>
      <c r="O51" s="112">
        <f>IFERROR(VLOOKUP($B51,MMWR_TRAD_AGG_STATE_COMP[],O$1,0),"ERROR")</f>
        <v>160</v>
      </c>
      <c r="P51" s="114">
        <f t="shared" si="7"/>
        <v>0.48192771084337349</v>
      </c>
      <c r="Q51" s="115">
        <f>IFERROR(VLOOKUP($B51,MMWR_TRAD_AGG_STATE_COMP[],Q$1,0),"ERROR")</f>
        <v>2</v>
      </c>
      <c r="R51" s="115">
        <f>IFERROR(VLOOKUP($B51,MMWR_TRAD_AGG_STATE_COMP[],R$1,0),"ERROR")</f>
        <v>5</v>
      </c>
      <c r="S51" s="115">
        <f>IFERROR(VLOOKUP($B51,MMWR_APP_STATE_COMP[],S$1,0),"ERROR")</f>
        <v>1003</v>
      </c>
      <c r="T51" s="28"/>
    </row>
    <row r="52" spans="1:20" s="123" customFormat="1" x14ac:dyDescent="0.2">
      <c r="A52" s="28"/>
      <c r="B52" s="127" t="s">
        <v>420</v>
      </c>
      <c r="C52" s="109">
        <f>IFERROR(VLOOKUP($B52,MMWR_TRAD_AGG_STATE_COMP[],C$1,0),"ERROR")</f>
        <v>3970</v>
      </c>
      <c r="D52" s="110">
        <f>IFERROR(VLOOKUP($B52,MMWR_TRAD_AGG_STATE_COMP[],D$1,0),"ERROR")</f>
        <v>445.48362720400002</v>
      </c>
      <c r="E52" s="111">
        <f>IFERROR(VLOOKUP($B52,MMWR_TRAD_AGG_STATE_COMP[],E$1,0),"ERROR")</f>
        <v>3773</v>
      </c>
      <c r="F52" s="112">
        <f>IFERROR(VLOOKUP($B52,MMWR_TRAD_AGG_STATE_COMP[],F$1,0),"ERROR")</f>
        <v>815</v>
      </c>
      <c r="G52" s="113">
        <f t="shared" si="4"/>
        <v>0.21600848131460376</v>
      </c>
      <c r="H52" s="111">
        <f>IFERROR(VLOOKUP($B52,MMWR_TRAD_AGG_STATE_COMP[],H$1,0),"ERROR")</f>
        <v>5295</v>
      </c>
      <c r="I52" s="112">
        <f>IFERROR(VLOOKUP($B52,MMWR_TRAD_AGG_STATE_COMP[],I$1,0),"ERROR")</f>
        <v>3474</v>
      </c>
      <c r="J52" s="114">
        <f t="shared" si="5"/>
        <v>0.65609065155807367</v>
      </c>
      <c r="K52" s="111">
        <f>IFERROR(VLOOKUP($B52,MMWR_TRAD_AGG_STATE_COMP[],K$1,0),"ERROR")</f>
        <v>839</v>
      </c>
      <c r="L52" s="112">
        <f>IFERROR(VLOOKUP($B52,MMWR_TRAD_AGG_STATE_COMP[],L$1,0),"ERROR")</f>
        <v>461</v>
      </c>
      <c r="M52" s="114">
        <f t="shared" si="6"/>
        <v>0.5494636471990465</v>
      </c>
      <c r="N52" s="111">
        <f>IFERROR(VLOOKUP($B52,MMWR_TRAD_AGG_STATE_COMP[],N$1,0),"ERROR")</f>
        <v>1629</v>
      </c>
      <c r="O52" s="112">
        <f>IFERROR(VLOOKUP($B52,MMWR_TRAD_AGG_STATE_COMP[],O$1,0),"ERROR")</f>
        <v>1081</v>
      </c>
      <c r="P52" s="114">
        <f t="shared" si="7"/>
        <v>0.66359729895641495</v>
      </c>
      <c r="Q52" s="115">
        <f>IFERROR(VLOOKUP($B52,MMWR_TRAD_AGG_STATE_COMP[],Q$1,0),"ERROR")</f>
        <v>6</v>
      </c>
      <c r="R52" s="115">
        <f>IFERROR(VLOOKUP($B52,MMWR_TRAD_AGG_STATE_COMP[],R$1,0),"ERROR")</f>
        <v>114</v>
      </c>
      <c r="S52" s="115">
        <f>IFERROR(VLOOKUP($B52,MMWR_APP_STATE_COMP[],S$1,0),"ERROR")</f>
        <v>3125</v>
      </c>
      <c r="T52" s="28"/>
    </row>
    <row r="53" spans="1:20" s="123" customFormat="1" x14ac:dyDescent="0.2">
      <c r="A53" s="28"/>
      <c r="B53" s="127" t="s">
        <v>412</v>
      </c>
      <c r="C53" s="109">
        <f>IFERROR(VLOOKUP($B53,MMWR_TRAD_AGG_STATE_COMP[],C$1,0),"ERROR")</f>
        <v>1575</v>
      </c>
      <c r="D53" s="110">
        <f>IFERROR(VLOOKUP($B53,MMWR_TRAD_AGG_STATE_COMP[],D$1,0),"ERROR")</f>
        <v>215.5663492063</v>
      </c>
      <c r="E53" s="111">
        <f>IFERROR(VLOOKUP($B53,MMWR_TRAD_AGG_STATE_COMP[],E$1,0),"ERROR")</f>
        <v>2694</v>
      </c>
      <c r="F53" s="112">
        <f>IFERROR(VLOOKUP($B53,MMWR_TRAD_AGG_STATE_COMP[],F$1,0),"ERROR")</f>
        <v>619</v>
      </c>
      <c r="G53" s="113">
        <f t="shared" si="4"/>
        <v>0.22976985894580548</v>
      </c>
      <c r="H53" s="111">
        <f>IFERROR(VLOOKUP($B53,MMWR_TRAD_AGG_STATE_COMP[],H$1,0),"ERROR")</f>
        <v>2430</v>
      </c>
      <c r="I53" s="112">
        <f>IFERROR(VLOOKUP($B53,MMWR_TRAD_AGG_STATE_COMP[],I$1,0),"ERROR")</f>
        <v>1032</v>
      </c>
      <c r="J53" s="114">
        <f t="shared" si="5"/>
        <v>0.42469135802469138</v>
      </c>
      <c r="K53" s="111">
        <f>IFERROR(VLOOKUP($B53,MMWR_TRAD_AGG_STATE_COMP[],K$1,0),"ERROR")</f>
        <v>455</v>
      </c>
      <c r="L53" s="112">
        <f>IFERROR(VLOOKUP($B53,MMWR_TRAD_AGG_STATE_COMP[],L$1,0),"ERROR")</f>
        <v>170</v>
      </c>
      <c r="M53" s="114">
        <f t="shared" si="6"/>
        <v>0.37362637362637363</v>
      </c>
      <c r="N53" s="111">
        <f>IFERROR(VLOOKUP($B53,MMWR_TRAD_AGG_STATE_COMP[],N$1,0),"ERROR")</f>
        <v>702</v>
      </c>
      <c r="O53" s="112">
        <f>IFERROR(VLOOKUP($B53,MMWR_TRAD_AGG_STATE_COMP[],O$1,0),"ERROR")</f>
        <v>353</v>
      </c>
      <c r="P53" s="114">
        <f t="shared" si="7"/>
        <v>0.5028490028490028</v>
      </c>
      <c r="Q53" s="115">
        <f>IFERROR(VLOOKUP($B53,MMWR_TRAD_AGG_STATE_COMP[],Q$1,0),"ERROR")</f>
        <v>4</v>
      </c>
      <c r="R53" s="115">
        <f>IFERROR(VLOOKUP($B53,MMWR_TRAD_AGG_STATE_COMP[],R$1,0),"ERROR")</f>
        <v>10</v>
      </c>
      <c r="S53" s="115">
        <f>IFERROR(VLOOKUP($B53,MMWR_APP_STATE_COMP[],S$1,0),"ERROR")</f>
        <v>1921</v>
      </c>
      <c r="T53" s="28"/>
    </row>
    <row r="54" spans="1:20" s="123" customFormat="1" x14ac:dyDescent="0.2">
      <c r="A54" s="28"/>
      <c r="B54" s="127" t="s">
        <v>416</v>
      </c>
      <c r="C54" s="109">
        <f>IFERROR(VLOOKUP($B54,MMWR_TRAD_AGG_STATE_COMP[],C$1,0),"ERROR")</f>
        <v>8584</v>
      </c>
      <c r="D54" s="110">
        <f>IFERROR(VLOOKUP($B54,MMWR_TRAD_AGG_STATE_COMP[],D$1,0),"ERROR")</f>
        <v>405.61544734389997</v>
      </c>
      <c r="E54" s="111">
        <f>IFERROR(VLOOKUP($B54,MMWR_TRAD_AGG_STATE_COMP[],E$1,0),"ERROR")</f>
        <v>4854</v>
      </c>
      <c r="F54" s="112">
        <f>IFERROR(VLOOKUP($B54,MMWR_TRAD_AGG_STATE_COMP[],F$1,0),"ERROR")</f>
        <v>1214</v>
      </c>
      <c r="G54" s="113">
        <f t="shared" si="4"/>
        <v>0.25010300782859496</v>
      </c>
      <c r="H54" s="111">
        <f>IFERROR(VLOOKUP($B54,MMWR_TRAD_AGG_STATE_COMP[],H$1,0),"ERROR")</f>
        <v>11684</v>
      </c>
      <c r="I54" s="112">
        <f>IFERROR(VLOOKUP($B54,MMWR_TRAD_AGG_STATE_COMP[],I$1,0),"ERROR")</f>
        <v>8332</v>
      </c>
      <c r="J54" s="114">
        <f t="shared" si="5"/>
        <v>0.71311194796302635</v>
      </c>
      <c r="K54" s="111">
        <f>IFERROR(VLOOKUP($B54,MMWR_TRAD_AGG_STATE_COMP[],K$1,0),"ERROR")</f>
        <v>3384</v>
      </c>
      <c r="L54" s="112">
        <f>IFERROR(VLOOKUP($B54,MMWR_TRAD_AGG_STATE_COMP[],L$1,0),"ERROR")</f>
        <v>2656</v>
      </c>
      <c r="M54" s="114">
        <f t="shared" si="6"/>
        <v>0.78486997635933808</v>
      </c>
      <c r="N54" s="111">
        <f>IFERROR(VLOOKUP($B54,MMWR_TRAD_AGG_STATE_COMP[],N$1,0),"ERROR")</f>
        <v>2299</v>
      </c>
      <c r="O54" s="112">
        <f>IFERROR(VLOOKUP($B54,MMWR_TRAD_AGG_STATE_COMP[],O$1,0),"ERROR")</f>
        <v>1093</v>
      </c>
      <c r="P54" s="114">
        <f t="shared" si="7"/>
        <v>0.47542409743366681</v>
      </c>
      <c r="Q54" s="115">
        <f>IFERROR(VLOOKUP($B54,MMWR_TRAD_AGG_STATE_COMP[],Q$1,0),"ERROR")</f>
        <v>5</v>
      </c>
      <c r="R54" s="115">
        <f>IFERROR(VLOOKUP($B54,MMWR_TRAD_AGG_STATE_COMP[],R$1,0),"ERROR")</f>
        <v>74</v>
      </c>
      <c r="S54" s="115">
        <f>IFERROR(VLOOKUP($B54,MMWR_APP_STATE_COMP[],S$1,0),"ERROR")</f>
        <v>5548</v>
      </c>
      <c r="T54" s="28"/>
    </row>
    <row r="55" spans="1:20" s="123" customFormat="1" x14ac:dyDescent="0.2">
      <c r="A55" s="28"/>
      <c r="B55" s="127" t="s">
        <v>83</v>
      </c>
      <c r="C55" s="109">
        <f>IFERROR(VLOOKUP($B55,MMWR_TRAD_AGG_STATE_COMP[],C$1,0),"ERROR")</f>
        <v>12676</v>
      </c>
      <c r="D55" s="110">
        <f>IFERROR(VLOOKUP($B55,MMWR_TRAD_AGG_STATE_COMP[],D$1,0),"ERROR")</f>
        <v>395.97901546230003</v>
      </c>
      <c r="E55" s="111">
        <f>IFERROR(VLOOKUP($B55,MMWR_TRAD_AGG_STATE_COMP[],E$1,0),"ERROR")</f>
        <v>6561</v>
      </c>
      <c r="F55" s="112">
        <f>IFERROR(VLOOKUP($B55,MMWR_TRAD_AGG_STATE_COMP[],F$1,0),"ERROR")</f>
        <v>1207</v>
      </c>
      <c r="G55" s="113">
        <f t="shared" si="4"/>
        <v>0.1839658588629782</v>
      </c>
      <c r="H55" s="111">
        <f>IFERROR(VLOOKUP($B55,MMWR_TRAD_AGG_STATE_COMP[],H$1,0),"ERROR")</f>
        <v>19001</v>
      </c>
      <c r="I55" s="112">
        <f>IFERROR(VLOOKUP($B55,MMWR_TRAD_AGG_STATE_COMP[],I$1,0),"ERROR")</f>
        <v>13323</v>
      </c>
      <c r="J55" s="114">
        <f t="shared" si="5"/>
        <v>0.70117362244092418</v>
      </c>
      <c r="K55" s="111">
        <f>IFERROR(VLOOKUP($B55,MMWR_TRAD_AGG_STATE_COMP[],K$1,0),"ERROR")</f>
        <v>4016</v>
      </c>
      <c r="L55" s="112">
        <f>IFERROR(VLOOKUP($B55,MMWR_TRAD_AGG_STATE_COMP[],L$1,0),"ERROR")</f>
        <v>2928</v>
      </c>
      <c r="M55" s="114">
        <f t="shared" si="6"/>
        <v>0.72908366533864544</v>
      </c>
      <c r="N55" s="111">
        <f>IFERROR(VLOOKUP($B55,MMWR_TRAD_AGG_STATE_COMP[],N$1,0),"ERROR")</f>
        <v>4941</v>
      </c>
      <c r="O55" s="112">
        <f>IFERROR(VLOOKUP($B55,MMWR_TRAD_AGG_STATE_COMP[],O$1,0),"ERROR")</f>
        <v>3770</v>
      </c>
      <c r="P55" s="114">
        <f t="shared" si="7"/>
        <v>0.76300344059906899</v>
      </c>
      <c r="Q55" s="115">
        <f>IFERROR(VLOOKUP($B55,MMWR_TRAD_AGG_STATE_COMP[],Q$1,0),"ERROR")</f>
        <v>12</v>
      </c>
      <c r="R55" s="115">
        <f>IFERROR(VLOOKUP($B55,MMWR_TRAD_AGG_STATE_COMP[],R$1,0),"ERROR")</f>
        <v>140</v>
      </c>
      <c r="S55" s="115">
        <f>IFERROR(VLOOKUP($B55,MMWR_APP_STATE_COMP[],S$1,0),"ERROR")</f>
        <v>5301</v>
      </c>
      <c r="T55" s="28"/>
    </row>
    <row r="56" spans="1:20" s="123" customFormat="1" x14ac:dyDescent="0.2">
      <c r="A56" s="28"/>
      <c r="B56" s="126" t="s">
        <v>387</v>
      </c>
      <c r="C56" s="102">
        <f>IFERROR(VLOOKUP($B56,MMWR_TRAD_AGG_ST_DISTRICT_COMP[],C$1,0),"ERROR")</f>
        <v>78865</v>
      </c>
      <c r="D56" s="103">
        <f>IFERROR(VLOOKUP($B56,MMWR_TRAD_AGG_ST_DISTRICT_COMP[],D$1,0),"ERROR")</f>
        <v>365.58516452169999</v>
      </c>
      <c r="E56" s="102">
        <f>IFERROR(VLOOKUP($B56,MMWR_TRAD_AGG_ST_DISTRICT_COMP[],E$1,0),"ERROR")</f>
        <v>77190</v>
      </c>
      <c r="F56" s="102">
        <f>IFERROR(VLOOKUP($B56,MMWR_TRAD_AGG_ST_DISTRICT_COMP[],F$1,0),"ERROR")</f>
        <v>18008</v>
      </c>
      <c r="G56" s="104">
        <f t="shared" si="4"/>
        <v>0.23329446819536209</v>
      </c>
      <c r="H56" s="102">
        <f>IFERROR(VLOOKUP($B56,MMWR_TRAD_AGG_ST_DISTRICT_COMP[],H$1,0),"ERROR")</f>
        <v>114014</v>
      </c>
      <c r="I56" s="102">
        <f>IFERROR(VLOOKUP($B56,MMWR_TRAD_AGG_ST_DISTRICT_COMP[],I$1,0),"ERROR")</f>
        <v>75031</v>
      </c>
      <c r="J56" s="105">
        <f t="shared" si="5"/>
        <v>0.65808584910625012</v>
      </c>
      <c r="K56" s="102">
        <f>IFERROR(VLOOKUP($B56,MMWR_TRAD_AGG_ST_DISTRICT_COMP[],K$1,0),"ERROR")</f>
        <v>27357</v>
      </c>
      <c r="L56" s="102">
        <f>IFERROR(VLOOKUP($B56,MMWR_TRAD_AGG_ST_DISTRICT_COMP[],L$1,0),"ERROR")</f>
        <v>18236</v>
      </c>
      <c r="M56" s="105">
        <f t="shared" si="6"/>
        <v>0.66659355923529628</v>
      </c>
      <c r="N56" s="102">
        <f>IFERROR(VLOOKUP($B56,MMWR_TRAD_AGG_ST_DISTRICT_COMP[],N$1,0),"ERROR")</f>
        <v>37677</v>
      </c>
      <c r="O56" s="102">
        <f>IFERROR(VLOOKUP($B56,MMWR_TRAD_AGG_ST_DISTRICT_COMP[],O$1,0),"ERROR")</f>
        <v>22515</v>
      </c>
      <c r="P56" s="105">
        <f t="shared" si="7"/>
        <v>0.5975794251134644</v>
      </c>
      <c r="Q56" s="102">
        <f>IFERROR(VLOOKUP($B56,MMWR_TRAD_AGG_ST_DISTRICT_COMP[],Q$1,0),"ERROR")</f>
        <v>5594</v>
      </c>
      <c r="R56" s="106">
        <f>IFERROR(VLOOKUP($B56,MMWR_TRAD_AGG_ST_DISTRICT_COMP[],R$1,0),"ERROR")</f>
        <v>1082</v>
      </c>
      <c r="S56" s="106">
        <f>SUM(S57:S63)</f>
        <v>88793</v>
      </c>
      <c r="T56" s="28"/>
    </row>
    <row r="57" spans="1:20" s="123" customFormat="1" x14ac:dyDescent="0.2">
      <c r="A57" s="28"/>
      <c r="B57" s="127" t="s">
        <v>395</v>
      </c>
      <c r="C57" s="109">
        <f>IFERROR(VLOOKUP($B57,MMWR_TRAD_AGG_STATE_COMP[],C$1,0),"ERROR")</f>
        <v>13857</v>
      </c>
      <c r="D57" s="110">
        <f>IFERROR(VLOOKUP($B57,MMWR_TRAD_AGG_STATE_COMP[],D$1,0),"ERROR")</f>
        <v>383.82867864619999</v>
      </c>
      <c r="E57" s="111">
        <f>IFERROR(VLOOKUP($B57,MMWR_TRAD_AGG_STATE_COMP[],E$1,0),"ERROR")</f>
        <v>7939</v>
      </c>
      <c r="F57" s="112">
        <f>IFERROR(VLOOKUP($B57,MMWR_TRAD_AGG_STATE_COMP[],F$1,0),"ERROR")</f>
        <v>1387</v>
      </c>
      <c r="G57" s="113">
        <f t="shared" si="4"/>
        <v>0.17470714195742537</v>
      </c>
      <c r="H57" s="111">
        <f>IFERROR(VLOOKUP($B57,MMWR_TRAD_AGG_STATE_COMP[],H$1,0),"ERROR")</f>
        <v>17724</v>
      </c>
      <c r="I57" s="112">
        <f>IFERROR(VLOOKUP($B57,MMWR_TRAD_AGG_STATE_COMP[],I$1,0),"ERROR")</f>
        <v>12041</v>
      </c>
      <c r="J57" s="114">
        <f t="shared" si="5"/>
        <v>0.67936131798691035</v>
      </c>
      <c r="K57" s="111">
        <f>IFERROR(VLOOKUP($B57,MMWR_TRAD_AGG_STATE_COMP[],K$1,0),"ERROR")</f>
        <v>4908</v>
      </c>
      <c r="L57" s="112">
        <f>IFERROR(VLOOKUP($B57,MMWR_TRAD_AGG_STATE_COMP[],L$1,0),"ERROR")</f>
        <v>3772</v>
      </c>
      <c r="M57" s="114">
        <f t="shared" si="6"/>
        <v>0.76854115729421357</v>
      </c>
      <c r="N57" s="111">
        <f>IFERROR(VLOOKUP($B57,MMWR_TRAD_AGG_STATE_COMP[],N$1,0),"ERROR")</f>
        <v>3157</v>
      </c>
      <c r="O57" s="112">
        <f>IFERROR(VLOOKUP($B57,MMWR_TRAD_AGG_STATE_COMP[],O$1,0),"ERROR")</f>
        <v>1873</v>
      </c>
      <c r="P57" s="114">
        <f t="shared" si="7"/>
        <v>0.59328476401647134</v>
      </c>
      <c r="Q57" s="115">
        <f>IFERROR(VLOOKUP($B57,MMWR_TRAD_AGG_STATE_COMP[],Q$1,0),"ERROR")</f>
        <v>424</v>
      </c>
      <c r="R57" s="115">
        <f>IFERROR(VLOOKUP($B57,MMWR_TRAD_AGG_STATE_COMP[],R$1,0),"ERROR")</f>
        <v>354</v>
      </c>
      <c r="S57" s="115">
        <f>IFERROR(VLOOKUP($B57,MMWR_APP_STATE_COMP[],S$1,0),"ERROR")</f>
        <v>10668</v>
      </c>
      <c r="T57" s="28"/>
    </row>
    <row r="58" spans="1:20" s="123" customFormat="1" x14ac:dyDescent="0.2">
      <c r="A58" s="28"/>
      <c r="B58" s="127" t="s">
        <v>432</v>
      </c>
      <c r="C58" s="109">
        <f>IFERROR(VLOOKUP($B58,MMWR_TRAD_AGG_STATE_COMP[],C$1,0),"ERROR")</f>
        <v>21051</v>
      </c>
      <c r="D58" s="110">
        <f>IFERROR(VLOOKUP($B58,MMWR_TRAD_AGG_STATE_COMP[],D$1,0),"ERROR")</f>
        <v>325.84300033250003</v>
      </c>
      <c r="E58" s="111">
        <f>IFERROR(VLOOKUP($B58,MMWR_TRAD_AGG_STATE_COMP[],E$1,0),"ERROR")</f>
        <v>23877</v>
      </c>
      <c r="F58" s="112">
        <f>IFERROR(VLOOKUP($B58,MMWR_TRAD_AGG_STATE_COMP[],F$1,0),"ERROR")</f>
        <v>5990</v>
      </c>
      <c r="G58" s="113">
        <f t="shared" si="4"/>
        <v>0.25086903714872055</v>
      </c>
      <c r="H58" s="111">
        <f>IFERROR(VLOOKUP($B58,MMWR_TRAD_AGG_STATE_COMP[],H$1,0),"ERROR")</f>
        <v>29284</v>
      </c>
      <c r="I58" s="112">
        <f>IFERROR(VLOOKUP($B58,MMWR_TRAD_AGG_STATE_COMP[],I$1,0),"ERROR")</f>
        <v>18881</v>
      </c>
      <c r="J58" s="114">
        <f t="shared" si="5"/>
        <v>0.64475481491599507</v>
      </c>
      <c r="K58" s="111">
        <f>IFERROR(VLOOKUP($B58,MMWR_TRAD_AGG_STATE_COMP[],K$1,0),"ERROR")</f>
        <v>6041</v>
      </c>
      <c r="L58" s="112">
        <f>IFERROR(VLOOKUP($B58,MMWR_TRAD_AGG_STATE_COMP[],L$1,0),"ERROR")</f>
        <v>3035</v>
      </c>
      <c r="M58" s="114">
        <f t="shared" si="6"/>
        <v>0.50240026485681177</v>
      </c>
      <c r="N58" s="111">
        <f>IFERROR(VLOOKUP($B58,MMWR_TRAD_AGG_STATE_COMP[],N$1,0),"ERROR")</f>
        <v>14500</v>
      </c>
      <c r="O58" s="112">
        <f>IFERROR(VLOOKUP($B58,MMWR_TRAD_AGG_STATE_COMP[],O$1,0),"ERROR")</f>
        <v>7989</v>
      </c>
      <c r="P58" s="114">
        <f t="shared" si="7"/>
        <v>0.55096551724137932</v>
      </c>
      <c r="Q58" s="115">
        <f>IFERROR(VLOOKUP($B58,MMWR_TRAD_AGG_STATE_COMP[],Q$1,0),"ERROR")</f>
        <v>2098</v>
      </c>
      <c r="R58" s="115">
        <f>IFERROR(VLOOKUP($B58,MMWR_TRAD_AGG_STATE_COMP[],R$1,0),"ERROR")</f>
        <v>261</v>
      </c>
      <c r="S58" s="115">
        <f>IFERROR(VLOOKUP($B58,MMWR_APP_STATE_COMP[],S$1,0),"ERROR")</f>
        <v>30521</v>
      </c>
      <c r="T58" s="28"/>
    </row>
    <row r="59" spans="1:20" s="123" customFormat="1" x14ac:dyDescent="0.2">
      <c r="A59" s="28"/>
      <c r="B59" s="127" t="s">
        <v>388</v>
      </c>
      <c r="C59" s="109">
        <f>IFERROR(VLOOKUP($B59,MMWR_TRAD_AGG_STATE_COMP[],C$1,0),"ERROR")</f>
        <v>16784</v>
      </c>
      <c r="D59" s="110">
        <f>IFERROR(VLOOKUP($B59,MMWR_TRAD_AGG_STATE_COMP[],D$1,0),"ERROR")</f>
        <v>360.42248570070001</v>
      </c>
      <c r="E59" s="111">
        <f>IFERROR(VLOOKUP($B59,MMWR_TRAD_AGG_STATE_COMP[],E$1,0),"ERROR")</f>
        <v>18708</v>
      </c>
      <c r="F59" s="112">
        <f>IFERROR(VLOOKUP($B59,MMWR_TRAD_AGG_STATE_COMP[],F$1,0),"ERROR")</f>
        <v>4432</v>
      </c>
      <c r="G59" s="113">
        <f t="shared" si="4"/>
        <v>0.23690399828950182</v>
      </c>
      <c r="H59" s="111">
        <f>IFERROR(VLOOKUP($B59,MMWR_TRAD_AGG_STATE_COMP[],H$1,0),"ERROR")</f>
        <v>24767</v>
      </c>
      <c r="I59" s="112">
        <f>IFERROR(VLOOKUP($B59,MMWR_TRAD_AGG_STATE_COMP[],I$1,0),"ERROR")</f>
        <v>17160</v>
      </c>
      <c r="J59" s="114">
        <f t="shared" si="5"/>
        <v>0.69285743125933708</v>
      </c>
      <c r="K59" s="111">
        <f>IFERROR(VLOOKUP($B59,MMWR_TRAD_AGG_STATE_COMP[],K$1,0),"ERROR")</f>
        <v>7053</v>
      </c>
      <c r="L59" s="112">
        <f>IFERROR(VLOOKUP($B59,MMWR_TRAD_AGG_STATE_COMP[],L$1,0),"ERROR")</f>
        <v>4699</v>
      </c>
      <c r="M59" s="114">
        <f t="shared" si="6"/>
        <v>0.66624131575216217</v>
      </c>
      <c r="N59" s="111">
        <f>IFERROR(VLOOKUP($B59,MMWR_TRAD_AGG_STATE_COMP[],N$1,0),"ERROR")</f>
        <v>12334</v>
      </c>
      <c r="O59" s="112">
        <f>IFERROR(VLOOKUP($B59,MMWR_TRAD_AGG_STATE_COMP[],O$1,0),"ERROR")</f>
        <v>8343</v>
      </c>
      <c r="P59" s="114">
        <f t="shared" si="7"/>
        <v>0.67642289605967243</v>
      </c>
      <c r="Q59" s="115">
        <f>IFERROR(VLOOKUP($B59,MMWR_TRAD_AGG_STATE_COMP[],Q$1,0),"ERROR")</f>
        <v>1043</v>
      </c>
      <c r="R59" s="115">
        <f>IFERROR(VLOOKUP($B59,MMWR_TRAD_AGG_STATE_COMP[],R$1,0),"ERROR")</f>
        <v>20</v>
      </c>
      <c r="S59" s="115">
        <f>IFERROR(VLOOKUP($B59,MMWR_APP_STATE_COMP[],S$1,0),"ERROR")</f>
        <v>17966</v>
      </c>
      <c r="T59" s="28"/>
    </row>
    <row r="60" spans="1:20" s="123" customFormat="1" x14ac:dyDescent="0.2">
      <c r="A60" s="28"/>
      <c r="B60" s="127" t="s">
        <v>400</v>
      </c>
      <c r="C60" s="109">
        <f>IFERROR(VLOOKUP($B60,MMWR_TRAD_AGG_STATE_COMP[],C$1,0),"ERROR")</f>
        <v>6916</v>
      </c>
      <c r="D60" s="110">
        <f>IFERROR(VLOOKUP($B60,MMWR_TRAD_AGG_STATE_COMP[],D$1,0),"ERROR")</f>
        <v>538.44360902259996</v>
      </c>
      <c r="E60" s="111">
        <f>IFERROR(VLOOKUP($B60,MMWR_TRAD_AGG_STATE_COMP[],E$1,0),"ERROR")</f>
        <v>4035</v>
      </c>
      <c r="F60" s="112">
        <f>IFERROR(VLOOKUP($B60,MMWR_TRAD_AGG_STATE_COMP[],F$1,0),"ERROR")</f>
        <v>811</v>
      </c>
      <c r="G60" s="113">
        <f t="shared" si="4"/>
        <v>0.20099132589838908</v>
      </c>
      <c r="H60" s="111">
        <f>IFERROR(VLOOKUP($B60,MMWR_TRAD_AGG_STATE_COMP[],H$1,0),"ERROR")</f>
        <v>10429</v>
      </c>
      <c r="I60" s="112">
        <f>IFERROR(VLOOKUP($B60,MMWR_TRAD_AGG_STATE_COMP[],I$1,0),"ERROR")</f>
        <v>6900</v>
      </c>
      <c r="J60" s="114">
        <f t="shared" si="5"/>
        <v>0.66161664589126479</v>
      </c>
      <c r="K60" s="111">
        <f>IFERROR(VLOOKUP($B60,MMWR_TRAD_AGG_STATE_COMP[],K$1,0),"ERROR")</f>
        <v>2614</v>
      </c>
      <c r="L60" s="112">
        <f>IFERROR(VLOOKUP($B60,MMWR_TRAD_AGG_STATE_COMP[],L$1,0),"ERROR")</f>
        <v>2177</v>
      </c>
      <c r="M60" s="114">
        <f t="shared" si="6"/>
        <v>0.83282325937260904</v>
      </c>
      <c r="N60" s="111">
        <f>IFERROR(VLOOKUP($B60,MMWR_TRAD_AGG_STATE_COMP[],N$1,0),"ERROR")</f>
        <v>1202</v>
      </c>
      <c r="O60" s="112">
        <f>IFERROR(VLOOKUP($B60,MMWR_TRAD_AGG_STATE_COMP[],O$1,0),"ERROR")</f>
        <v>548</v>
      </c>
      <c r="P60" s="114">
        <f t="shared" si="7"/>
        <v>0.45590682196339433</v>
      </c>
      <c r="Q60" s="115">
        <f>IFERROR(VLOOKUP($B60,MMWR_TRAD_AGG_STATE_COMP[],Q$1,0),"ERROR")</f>
        <v>482</v>
      </c>
      <c r="R60" s="115">
        <f>IFERROR(VLOOKUP($B60,MMWR_TRAD_AGG_STATE_COMP[],R$1,0),"ERROR")</f>
        <v>139</v>
      </c>
      <c r="S60" s="115">
        <f>IFERROR(VLOOKUP($B60,MMWR_APP_STATE_COMP[],S$1,0),"ERROR")</f>
        <v>3361</v>
      </c>
      <c r="T60" s="28"/>
    </row>
    <row r="61" spans="1:20" s="123" customFormat="1" x14ac:dyDescent="0.2">
      <c r="A61" s="28"/>
      <c r="B61" s="127" t="s">
        <v>434</v>
      </c>
      <c r="C61" s="109">
        <f>IFERROR(VLOOKUP($B61,MMWR_TRAD_AGG_STATE_COMP[],C$1,0),"ERROR")</f>
        <v>3000</v>
      </c>
      <c r="D61" s="110">
        <f>IFERROR(VLOOKUP($B61,MMWR_TRAD_AGG_STATE_COMP[],D$1,0),"ERROR")</f>
        <v>404.87233333329999</v>
      </c>
      <c r="E61" s="111">
        <f>IFERROR(VLOOKUP($B61,MMWR_TRAD_AGG_STATE_COMP[],E$1,0),"ERROR")</f>
        <v>3453</v>
      </c>
      <c r="F61" s="112">
        <f>IFERROR(VLOOKUP($B61,MMWR_TRAD_AGG_STATE_COMP[],F$1,0),"ERROR")</f>
        <v>844</v>
      </c>
      <c r="G61" s="113">
        <f t="shared" si="4"/>
        <v>0.24442513756154069</v>
      </c>
      <c r="H61" s="111">
        <f>IFERROR(VLOOKUP($B61,MMWR_TRAD_AGG_STATE_COMP[],H$1,0),"ERROR")</f>
        <v>5415</v>
      </c>
      <c r="I61" s="112">
        <f>IFERROR(VLOOKUP($B61,MMWR_TRAD_AGG_STATE_COMP[],I$1,0),"ERROR")</f>
        <v>3692</v>
      </c>
      <c r="J61" s="114">
        <f t="shared" si="5"/>
        <v>0.68180978762696209</v>
      </c>
      <c r="K61" s="111">
        <f>IFERROR(VLOOKUP($B61,MMWR_TRAD_AGG_STATE_COMP[],K$1,0),"ERROR")</f>
        <v>837</v>
      </c>
      <c r="L61" s="112">
        <f>IFERROR(VLOOKUP($B61,MMWR_TRAD_AGG_STATE_COMP[],L$1,0),"ERROR")</f>
        <v>642</v>
      </c>
      <c r="M61" s="114">
        <f t="shared" si="6"/>
        <v>0.76702508960573479</v>
      </c>
      <c r="N61" s="111">
        <f>IFERROR(VLOOKUP($B61,MMWR_TRAD_AGG_STATE_COMP[],N$1,0),"ERROR")</f>
        <v>1363</v>
      </c>
      <c r="O61" s="112">
        <f>IFERROR(VLOOKUP($B61,MMWR_TRAD_AGG_STATE_COMP[],O$1,0),"ERROR")</f>
        <v>891</v>
      </c>
      <c r="P61" s="114">
        <f t="shared" si="7"/>
        <v>0.65370506236243575</v>
      </c>
      <c r="Q61" s="115">
        <f>IFERROR(VLOOKUP($B61,MMWR_TRAD_AGG_STATE_COMP[],Q$1,0),"ERROR")</f>
        <v>348</v>
      </c>
      <c r="R61" s="115">
        <f>IFERROR(VLOOKUP($B61,MMWR_TRAD_AGG_STATE_COMP[],R$1,0),"ERROR")</f>
        <v>2</v>
      </c>
      <c r="S61" s="115">
        <f>IFERROR(VLOOKUP($B61,MMWR_APP_STATE_COMP[],S$1,0),"ERROR")</f>
        <v>6219</v>
      </c>
      <c r="T61" s="28"/>
    </row>
    <row r="62" spans="1:20" s="123" customFormat="1" x14ac:dyDescent="0.2">
      <c r="A62" s="28"/>
      <c r="B62" s="127" t="s">
        <v>390</v>
      </c>
      <c r="C62" s="109">
        <f>IFERROR(VLOOKUP($B62,MMWR_TRAD_AGG_STATE_COMP[],C$1,0),"ERROR")</f>
        <v>10581</v>
      </c>
      <c r="D62" s="110">
        <f>IFERROR(VLOOKUP($B62,MMWR_TRAD_AGG_STATE_COMP[],D$1,0),"ERROR")</f>
        <v>351.6599565258</v>
      </c>
      <c r="E62" s="111">
        <f>IFERROR(VLOOKUP($B62,MMWR_TRAD_AGG_STATE_COMP[],E$1,0),"ERROR")</f>
        <v>9545</v>
      </c>
      <c r="F62" s="112">
        <f>IFERROR(VLOOKUP($B62,MMWR_TRAD_AGG_STATE_COMP[],F$1,0),"ERROR")</f>
        <v>2559</v>
      </c>
      <c r="G62" s="113">
        <f t="shared" si="4"/>
        <v>0.2680984808800419</v>
      </c>
      <c r="H62" s="111">
        <f>IFERROR(VLOOKUP($B62,MMWR_TRAD_AGG_STATE_COMP[],H$1,0),"ERROR")</f>
        <v>15015</v>
      </c>
      <c r="I62" s="112">
        <f>IFERROR(VLOOKUP($B62,MMWR_TRAD_AGG_STATE_COMP[],I$1,0),"ERROR")</f>
        <v>10599</v>
      </c>
      <c r="J62" s="114">
        <f t="shared" si="5"/>
        <v>0.70589410589410584</v>
      </c>
      <c r="K62" s="111">
        <f>IFERROR(VLOOKUP($B62,MMWR_TRAD_AGG_STATE_COMP[],K$1,0),"ERROR")</f>
        <v>2703</v>
      </c>
      <c r="L62" s="112">
        <f>IFERROR(VLOOKUP($B62,MMWR_TRAD_AGG_STATE_COMP[],L$1,0),"ERROR")</f>
        <v>1663</v>
      </c>
      <c r="M62" s="114">
        <f t="shared" si="6"/>
        <v>0.61524232334443207</v>
      </c>
      <c r="N62" s="111">
        <f>IFERROR(VLOOKUP($B62,MMWR_TRAD_AGG_STATE_COMP[],N$1,0),"ERROR")</f>
        <v>2983</v>
      </c>
      <c r="O62" s="112">
        <f>IFERROR(VLOOKUP($B62,MMWR_TRAD_AGG_STATE_COMP[],O$1,0),"ERROR")</f>
        <v>1660</v>
      </c>
      <c r="P62" s="114">
        <f t="shared" si="7"/>
        <v>0.55648675829701644</v>
      </c>
      <c r="Q62" s="115">
        <f>IFERROR(VLOOKUP($B62,MMWR_TRAD_AGG_STATE_COMP[],Q$1,0),"ERROR")</f>
        <v>583</v>
      </c>
      <c r="R62" s="115">
        <f>IFERROR(VLOOKUP($B62,MMWR_TRAD_AGG_STATE_COMP[],R$1,0),"ERROR")</f>
        <v>61</v>
      </c>
      <c r="S62" s="115">
        <f>IFERROR(VLOOKUP($B62,MMWR_APP_STATE_COMP[],S$1,0),"ERROR")</f>
        <v>13008</v>
      </c>
      <c r="T62" s="28"/>
    </row>
    <row r="63" spans="1:20" s="123" customFormat="1" x14ac:dyDescent="0.2">
      <c r="A63" s="28"/>
      <c r="B63" s="127" t="s">
        <v>391</v>
      </c>
      <c r="C63" s="109">
        <f>IFERROR(VLOOKUP($B63,MMWR_TRAD_AGG_STATE_COMP[],C$1,0),"ERROR")</f>
        <v>6676</v>
      </c>
      <c r="D63" s="110">
        <f>IFERROR(VLOOKUP($B63,MMWR_TRAD_AGG_STATE_COMP[],D$1,0),"ERROR")</f>
        <v>291.35724985019999</v>
      </c>
      <c r="E63" s="111">
        <f>IFERROR(VLOOKUP($B63,MMWR_TRAD_AGG_STATE_COMP[],E$1,0),"ERROR")</f>
        <v>9633</v>
      </c>
      <c r="F63" s="112">
        <f>IFERROR(VLOOKUP($B63,MMWR_TRAD_AGG_STATE_COMP[],F$1,0),"ERROR")</f>
        <v>1985</v>
      </c>
      <c r="G63" s="113">
        <f t="shared" si="4"/>
        <v>0.20606249351188621</v>
      </c>
      <c r="H63" s="111">
        <f>IFERROR(VLOOKUP($B63,MMWR_TRAD_AGG_STATE_COMP[],H$1,0),"ERROR")</f>
        <v>11380</v>
      </c>
      <c r="I63" s="112">
        <f>IFERROR(VLOOKUP($B63,MMWR_TRAD_AGG_STATE_COMP[],I$1,0),"ERROR")</f>
        <v>5758</v>
      </c>
      <c r="J63" s="114">
        <f t="shared" si="5"/>
        <v>0.50597539543058001</v>
      </c>
      <c r="K63" s="111">
        <f>IFERROR(VLOOKUP($B63,MMWR_TRAD_AGG_STATE_COMP[],K$1,0),"ERROR")</f>
        <v>3201</v>
      </c>
      <c r="L63" s="112">
        <f>IFERROR(VLOOKUP($B63,MMWR_TRAD_AGG_STATE_COMP[],L$1,0),"ERROR")</f>
        <v>2248</v>
      </c>
      <c r="M63" s="114">
        <f t="shared" si="6"/>
        <v>0.70228053733208373</v>
      </c>
      <c r="N63" s="111">
        <f>IFERROR(VLOOKUP($B63,MMWR_TRAD_AGG_STATE_COMP[],N$1,0),"ERROR")</f>
        <v>2138</v>
      </c>
      <c r="O63" s="112">
        <f>IFERROR(VLOOKUP($B63,MMWR_TRAD_AGG_STATE_COMP[],O$1,0),"ERROR")</f>
        <v>1211</v>
      </c>
      <c r="P63" s="114">
        <f t="shared" si="7"/>
        <v>0.56641721234798881</v>
      </c>
      <c r="Q63" s="115">
        <f>IFERROR(VLOOKUP($B63,MMWR_TRAD_AGG_STATE_COMP[],Q$1,0),"ERROR")</f>
        <v>616</v>
      </c>
      <c r="R63" s="115">
        <f>IFERROR(VLOOKUP($B63,MMWR_TRAD_AGG_STATE_COMP[],R$1,0),"ERROR")</f>
        <v>245</v>
      </c>
      <c r="S63" s="115">
        <f>IFERROR(VLOOKUP($B63,MMWR_APP_STATE_COMP[],S$1,0),"ERROR")</f>
        <v>7050</v>
      </c>
      <c r="T63" s="28"/>
    </row>
    <row r="64" spans="1:20" s="123" customFormat="1" x14ac:dyDescent="0.2">
      <c r="A64" s="28"/>
      <c r="B64" s="128" t="s">
        <v>8</v>
      </c>
      <c r="C64" s="102">
        <f>IFERROR(VLOOKUP($B64,MMWR_TRAD_AGG_ST_DISTRICT_COMP[],C$1,0),"ERROR")</f>
        <v>4408</v>
      </c>
      <c r="D64" s="103">
        <f>IFERROR(VLOOKUP($B64,MMWR_TRAD_AGG_ST_DISTRICT_COMP[],D$1,0),"ERROR")</f>
        <v>384.1084392015</v>
      </c>
      <c r="E64" s="102">
        <f>IFERROR(VLOOKUP($B64,MMWR_TRAD_AGG_ST_DISTRICT_COMP[],E$1,0),"ERROR")</f>
        <v>3948</v>
      </c>
      <c r="F64" s="102">
        <f>IFERROR(VLOOKUP($B64,MMWR_TRAD_AGG_ST_DISTRICT_COMP[],F$1,0),"ERROR")</f>
        <v>1594</v>
      </c>
      <c r="G64" s="104">
        <f t="shared" si="4"/>
        <v>0.40374873353596757</v>
      </c>
      <c r="H64" s="102">
        <f>IFERROR(VLOOKUP($B64,MMWR_TRAD_AGG_ST_DISTRICT_COMP[],H$1,0),"ERROR")</f>
        <v>5681</v>
      </c>
      <c r="I64" s="102">
        <f>IFERROR(VLOOKUP($B64,MMWR_TRAD_AGG_ST_DISTRICT_COMP[],I$1,0),"ERROR")</f>
        <v>3986</v>
      </c>
      <c r="J64" s="105">
        <f t="shared" si="5"/>
        <v>0.70163703573314562</v>
      </c>
      <c r="K64" s="102">
        <f>IFERROR(VLOOKUP($B64,MMWR_TRAD_AGG_ST_DISTRICT_COMP[],K$1,0),"ERROR")</f>
        <v>872</v>
      </c>
      <c r="L64" s="102">
        <f>IFERROR(VLOOKUP($B64,MMWR_TRAD_AGG_ST_DISTRICT_COMP[],L$1,0),"ERROR")</f>
        <v>491</v>
      </c>
      <c r="M64" s="105">
        <f t="shared" si="6"/>
        <v>0.56307339449541283</v>
      </c>
      <c r="N64" s="102">
        <f>IFERROR(VLOOKUP($B64,MMWR_TRAD_AGG_ST_DISTRICT_COMP[],N$1,0),"ERROR")</f>
        <v>1410</v>
      </c>
      <c r="O64" s="102">
        <f>IFERROR(VLOOKUP($B64,MMWR_TRAD_AGG_ST_DISTRICT_COMP[],O$1,0),"ERROR")</f>
        <v>821</v>
      </c>
      <c r="P64" s="105">
        <f t="shared" si="7"/>
        <v>0.5822695035460993</v>
      </c>
      <c r="Q64" s="102">
        <f>IFERROR(VLOOKUP($B64,MMWR_TRAD_AGG_ST_DISTRICT_COMP[],Q$1,0),"ERROR")</f>
        <v>405</v>
      </c>
      <c r="R64" s="106">
        <f>IFERROR(VLOOKUP($B64,MMWR_TRAD_AGG_ST_DISTRICT_COMP[],R$1,0),"ERROR")</f>
        <v>130</v>
      </c>
      <c r="S64" s="106">
        <f>IFERROR(VLOOKUP($B64,MMWR_APP_STATE_COMP[],S$1,0),"ERROR")</f>
        <v>427</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4" t="s">
        <v>494</v>
      </c>
      <c r="D66" s="455"/>
      <c r="E66" s="455"/>
      <c r="F66" s="455"/>
      <c r="G66" s="455"/>
      <c r="H66" s="455"/>
      <c r="I66" s="455"/>
      <c r="J66" s="455"/>
      <c r="K66" s="455"/>
      <c r="L66" s="455"/>
      <c r="M66" s="455"/>
      <c r="N66" s="455"/>
      <c r="O66" s="455"/>
      <c r="P66" s="455"/>
      <c r="Q66" s="455"/>
      <c r="R66" s="455"/>
      <c r="S66" s="456"/>
      <c r="T66" s="28"/>
    </row>
    <row r="67" spans="1:20" s="123" customFormat="1" x14ac:dyDescent="0.2">
      <c r="A67" s="28"/>
      <c r="B67" s="26"/>
      <c r="C67" s="462" t="s">
        <v>231</v>
      </c>
      <c r="D67" s="462"/>
      <c r="E67" s="459" t="s">
        <v>211</v>
      </c>
      <c r="F67" s="460"/>
      <c r="G67" s="461"/>
      <c r="H67" s="459" t="s">
        <v>7</v>
      </c>
      <c r="I67" s="460"/>
      <c r="J67" s="461"/>
      <c r="K67" s="459" t="s">
        <v>33</v>
      </c>
      <c r="L67" s="460"/>
      <c r="M67" s="461"/>
      <c r="N67" s="459" t="s">
        <v>8</v>
      </c>
      <c r="O67" s="460"/>
      <c r="P67" s="461"/>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18103</v>
      </c>
      <c r="D69" s="120">
        <f>IFERROR(VLOOKUP($B69,MMWR_TRAD_AGG_RO_PEN[],D$1,0),"ERROR")</f>
        <v>89.378335082600003</v>
      </c>
      <c r="E69" s="119">
        <f>IFERROR(VLOOKUP($B69,MMWR_TRAD_AGG_RO_PEN[],E$1,0),"ERROR")</f>
        <v>32932</v>
      </c>
      <c r="F69" s="119">
        <f>IFERROR(VLOOKUP($B69,MMWR_TRAD_AGG_RO_PEN[],F$1,0),"ERROR")</f>
        <v>4662</v>
      </c>
      <c r="G69" s="98">
        <f t="shared" ref="G69:G100" si="8">IFERROR(F69/E69,"0%")</f>
        <v>0.14156443580711769</v>
      </c>
      <c r="H69" s="119">
        <f>IFERROR(VLOOKUP($B69,MMWR_TRAD_AGG_RO_PEN[],H$1,0),"ERROR")</f>
        <v>26946</v>
      </c>
      <c r="I69" s="119">
        <f>IFERROR(VLOOKUP($B69,MMWR_TRAD_AGG_RO_PEN[],I$1,0),"ERROR")</f>
        <v>6762</v>
      </c>
      <c r="J69" s="98">
        <f t="shared" ref="J69:J100" si="9">IFERROR(I69/H69,"0%")</f>
        <v>0.25094633711868181</v>
      </c>
      <c r="K69" s="119">
        <f>IFERROR(VLOOKUP($B69,MMWR_TRAD_AGG_RO_PEN[],K$1,0),"ERROR")</f>
        <v>612</v>
      </c>
      <c r="L69" s="119">
        <f>IFERROR(VLOOKUP($B69,MMWR_TRAD_AGG_RO_PEN[],L$1,0),"ERROR")</f>
        <v>571</v>
      </c>
      <c r="M69" s="98">
        <f t="shared" ref="M69:M100" si="10">IFERROR(L69/K69,"0%")</f>
        <v>0.93300653594771243</v>
      </c>
      <c r="N69" s="119">
        <f>IFERROR(VLOOKUP($B69,MMWR_TRAD_AGG_RO_PEN[],N$1,0),"ERROR")</f>
        <v>1906</v>
      </c>
      <c r="O69" s="119">
        <f>IFERROR(VLOOKUP($B69,MMWR_TRAD_AGG_RO_PEN[],O$1,0),"ERROR")</f>
        <v>591</v>
      </c>
      <c r="P69" s="98">
        <f t="shared" ref="P69:P100" si="11">IFERROR(O69/N69,"0%")</f>
        <v>0.31007345225603355</v>
      </c>
      <c r="Q69" s="119">
        <f>IFERROR(VLOOKUP($B69,MMWR_TRAD_AGG_RO_PEN[],Q$1,0),"ERROR")</f>
        <v>9009</v>
      </c>
      <c r="R69" s="121">
        <f>IFERROR(VLOOKUP($B69,MMWR_TRAD_AGG_RO_PEN[],R$1,0),"ERROR")</f>
        <v>5744</v>
      </c>
      <c r="S69" s="121">
        <f>S70+S86+S99+S109+S119+S127</f>
        <v>7579</v>
      </c>
      <c r="T69" s="28"/>
    </row>
    <row r="70" spans="1:20" s="123" customFormat="1" x14ac:dyDescent="0.2">
      <c r="A70" s="28"/>
      <c r="B70" s="126" t="s">
        <v>376</v>
      </c>
      <c r="C70" s="102">
        <f>IFERROR(VLOOKUP($B70,MMWR_TRAD_AGG_ST_DISTRICT_PEN[],C$1,0),"ERROR")</f>
        <v>6913</v>
      </c>
      <c r="D70" s="103">
        <f>IFERROR(VLOOKUP($B70,MMWR_TRAD_AGG_ST_DISTRICT_PEN[],D$1,0),"ERROR")</f>
        <v>103.6761174599</v>
      </c>
      <c r="E70" s="102">
        <f>IFERROR(VLOOKUP($B70,MMWR_TRAD_AGG_ST_DISTRICT_PEN[],E$1,0),"ERROR")</f>
        <v>10773</v>
      </c>
      <c r="F70" s="102">
        <f>IFERROR(VLOOKUP($B70,MMWR_TRAD_AGG_ST_DISTRICT_PEN[],F$1,0),"ERROR")</f>
        <v>2231</v>
      </c>
      <c r="G70" s="104">
        <f t="shared" si="8"/>
        <v>0.20709180358303164</v>
      </c>
      <c r="H70" s="102">
        <f>IFERROR(VLOOKUP($B70,MMWR_TRAD_AGG_ST_DISTRICT_PEN[],H$1,0),"ERROR")</f>
        <v>9709</v>
      </c>
      <c r="I70" s="102">
        <f>IFERROR(VLOOKUP($B70,MMWR_TRAD_AGG_ST_DISTRICT_PEN[],I$1,0),"ERROR")</f>
        <v>3309</v>
      </c>
      <c r="J70" s="104">
        <f t="shared" si="9"/>
        <v>0.34081779791945616</v>
      </c>
      <c r="K70" s="102">
        <f>IFERROR(VLOOKUP($B70,MMWR_TRAD_AGG_ST_DISTRICT_PEN[],K$1,0),"ERROR")</f>
        <v>360</v>
      </c>
      <c r="L70" s="102">
        <f>IFERROR(VLOOKUP($B70,MMWR_TRAD_AGG_ST_DISTRICT_PEN[],L$1,0),"ERROR")</f>
        <v>347</v>
      </c>
      <c r="M70" s="104">
        <f t="shared" si="10"/>
        <v>0.96388888888888891</v>
      </c>
      <c r="N70" s="102">
        <f>IFERROR(VLOOKUP($B70,MMWR_TRAD_AGG_ST_DISTRICT_PEN[],N$1,0),"ERROR")</f>
        <v>721</v>
      </c>
      <c r="O70" s="102">
        <f>IFERROR(VLOOKUP($B70,MMWR_TRAD_AGG_ST_DISTRICT_PEN[],O$1,0),"ERROR")</f>
        <v>230</v>
      </c>
      <c r="P70" s="104">
        <f t="shared" si="11"/>
        <v>0.31900138696255204</v>
      </c>
      <c r="Q70" s="102">
        <f>IFERROR(VLOOKUP($B70,MMWR_TRAD_AGG_ST_DISTRICT_PEN[],Q$1,0),"ERROR")</f>
        <v>1274</v>
      </c>
      <c r="R70" s="106">
        <f>IFERROR(VLOOKUP($B70,MMWR_TRAD_AGG_ST_DISTRICT_PEN[],R$1,0),"ERROR")</f>
        <v>2482</v>
      </c>
      <c r="S70" s="106">
        <f>IFERROR(VLOOKUP($B70,MMWR_APP_STATE_PEN[],S$1,0),"ERROR")</f>
        <v>1494</v>
      </c>
      <c r="T70" s="28"/>
    </row>
    <row r="71" spans="1:20" s="123" customFormat="1" x14ac:dyDescent="0.2">
      <c r="A71" s="28"/>
      <c r="B71" s="127" t="s">
        <v>380</v>
      </c>
      <c r="C71" s="109">
        <f>IFERROR(VLOOKUP($B71,MMWR_TRAD_AGG_STATE_PEN[],C$1,0),"ERROR")</f>
        <v>195</v>
      </c>
      <c r="D71" s="110">
        <f>IFERROR(VLOOKUP($B71,MMWR_TRAD_AGG_STATE_PEN[],D$1,0),"ERROR")</f>
        <v>106.3692307692</v>
      </c>
      <c r="E71" s="111">
        <f>IFERROR(VLOOKUP($B71,MMWR_TRAD_AGG_STATE_PEN[],E$1,0),"ERROR")</f>
        <v>400</v>
      </c>
      <c r="F71" s="112">
        <f>IFERROR(VLOOKUP($B71,MMWR_TRAD_AGG_STATE_PEN[],F$1,0),"ERROR")</f>
        <v>95</v>
      </c>
      <c r="G71" s="113">
        <f t="shared" si="8"/>
        <v>0.23749999999999999</v>
      </c>
      <c r="H71" s="111">
        <f>IFERROR(VLOOKUP($B71,MMWR_TRAD_AGG_STATE_PEN[],H$1,0),"ERROR")</f>
        <v>275</v>
      </c>
      <c r="I71" s="112">
        <f>IFERROR(VLOOKUP($B71,MMWR_TRAD_AGG_STATE_PEN[],I$1,0),"ERROR")</f>
        <v>98</v>
      </c>
      <c r="J71" s="114">
        <f t="shared" si="9"/>
        <v>0.35636363636363638</v>
      </c>
      <c r="K71" s="111">
        <f>IFERROR(VLOOKUP($B71,MMWR_TRAD_AGG_STATE_PEN[],K$1,0),"ERROR")</f>
        <v>4</v>
      </c>
      <c r="L71" s="112">
        <f>IFERROR(VLOOKUP($B71,MMWR_TRAD_AGG_STATE_PEN[],L$1,0),"ERROR")</f>
        <v>4</v>
      </c>
      <c r="M71" s="114">
        <f t="shared" si="10"/>
        <v>1</v>
      </c>
      <c r="N71" s="111">
        <f>IFERROR(VLOOKUP($B71,MMWR_TRAD_AGG_STATE_PEN[],N$1,0),"ERROR")</f>
        <v>24</v>
      </c>
      <c r="O71" s="112">
        <f>IFERROR(VLOOKUP($B71,MMWR_TRAD_AGG_STATE_PEN[],O$1,0),"ERROR")</f>
        <v>5</v>
      </c>
      <c r="P71" s="114">
        <f t="shared" si="11"/>
        <v>0.20833333333333334</v>
      </c>
      <c r="Q71" s="115">
        <f>IFERROR(VLOOKUP($B71,MMWR_TRAD_AGG_STATE_PEN[],Q$1,0),"ERROR")</f>
        <v>31</v>
      </c>
      <c r="R71" s="115">
        <f>IFERROR(VLOOKUP($B71,MMWR_TRAD_AGG_STATE_PEN[],R$1,0),"ERROR")</f>
        <v>76</v>
      </c>
      <c r="S71" s="115">
        <f>IFERROR(VLOOKUP($B71,MMWR_APP_STATE_PEN[],S$1,0),"ERROR")</f>
        <v>50</v>
      </c>
      <c r="T71" s="28"/>
    </row>
    <row r="72" spans="1:20" s="123" customFormat="1" x14ac:dyDescent="0.2">
      <c r="A72" s="28"/>
      <c r="B72" s="127" t="s">
        <v>430</v>
      </c>
      <c r="C72" s="109">
        <f>IFERROR(VLOOKUP($B72,MMWR_TRAD_AGG_STATE_PEN[],C$1,0),"ERROR")</f>
        <v>56</v>
      </c>
      <c r="D72" s="110">
        <f>IFERROR(VLOOKUP($B72,MMWR_TRAD_AGG_STATE_PEN[],D$1,0),"ERROR")</f>
        <v>120.5892857143</v>
      </c>
      <c r="E72" s="111">
        <f>IFERROR(VLOOKUP($B72,MMWR_TRAD_AGG_STATE_PEN[],E$1,0),"ERROR")</f>
        <v>107</v>
      </c>
      <c r="F72" s="112">
        <f>IFERROR(VLOOKUP($B72,MMWR_TRAD_AGG_STATE_PEN[],F$1,0),"ERROR")</f>
        <v>15</v>
      </c>
      <c r="G72" s="113">
        <f t="shared" si="8"/>
        <v>0.14018691588785046</v>
      </c>
      <c r="H72" s="111">
        <f>IFERROR(VLOOKUP($B72,MMWR_TRAD_AGG_STATE_PEN[],H$1,0),"ERROR")</f>
        <v>82</v>
      </c>
      <c r="I72" s="112">
        <f>IFERROR(VLOOKUP($B72,MMWR_TRAD_AGG_STATE_PEN[],I$1,0),"ERROR")</f>
        <v>30</v>
      </c>
      <c r="J72" s="114">
        <f t="shared" si="9"/>
        <v>0.36585365853658536</v>
      </c>
      <c r="K72" s="111">
        <f>IFERROR(VLOOKUP($B72,MMWR_TRAD_AGG_STATE_PEN[],K$1,0),"ERROR")</f>
        <v>5</v>
      </c>
      <c r="L72" s="112">
        <f>IFERROR(VLOOKUP($B72,MMWR_TRAD_AGG_STATE_PEN[],L$1,0),"ERROR")</f>
        <v>4</v>
      </c>
      <c r="M72" s="114">
        <f t="shared" si="10"/>
        <v>0.8</v>
      </c>
      <c r="N72" s="111">
        <f>IFERROR(VLOOKUP($B72,MMWR_TRAD_AGG_STATE_PEN[],N$1,0),"ERROR")</f>
        <v>11</v>
      </c>
      <c r="O72" s="112">
        <f>IFERROR(VLOOKUP($B72,MMWR_TRAD_AGG_STATE_PEN[],O$1,0),"ERROR")</f>
        <v>4</v>
      </c>
      <c r="P72" s="114">
        <f t="shared" si="11"/>
        <v>0.36363636363636365</v>
      </c>
      <c r="Q72" s="115">
        <f>IFERROR(VLOOKUP($B72,MMWR_TRAD_AGG_STATE_PEN[],Q$1,0),"ERROR")</f>
        <v>14</v>
      </c>
      <c r="R72" s="115">
        <f>IFERROR(VLOOKUP($B72,MMWR_TRAD_AGG_STATE_PEN[],R$1,0),"ERROR")</f>
        <v>32</v>
      </c>
      <c r="S72" s="115">
        <f>IFERROR(VLOOKUP($B72,MMWR_APP_STATE_PEN[],S$1,0),"ERROR")</f>
        <v>19</v>
      </c>
      <c r="T72" s="28"/>
    </row>
    <row r="73" spans="1:20" s="123" customFormat="1" x14ac:dyDescent="0.2">
      <c r="A73" s="28"/>
      <c r="B73" s="127" t="s">
        <v>421</v>
      </c>
      <c r="C73" s="109">
        <f>IFERROR(VLOOKUP($B73,MMWR_TRAD_AGG_STATE_PEN[],C$1,0),"ERROR")</f>
        <v>46</v>
      </c>
      <c r="D73" s="110">
        <f>IFERROR(VLOOKUP($B73,MMWR_TRAD_AGG_STATE_PEN[],D$1,0),"ERROR")</f>
        <v>112.347826087</v>
      </c>
      <c r="E73" s="111">
        <f>IFERROR(VLOOKUP($B73,MMWR_TRAD_AGG_STATE_PEN[],E$1,0),"ERROR")</f>
        <v>65</v>
      </c>
      <c r="F73" s="112">
        <f>IFERROR(VLOOKUP($B73,MMWR_TRAD_AGG_STATE_PEN[],F$1,0),"ERROR")</f>
        <v>8</v>
      </c>
      <c r="G73" s="113">
        <f t="shared" si="8"/>
        <v>0.12307692307692308</v>
      </c>
      <c r="H73" s="111">
        <f>IFERROR(VLOOKUP($B73,MMWR_TRAD_AGG_STATE_PEN[],H$1,0),"ERROR")</f>
        <v>62</v>
      </c>
      <c r="I73" s="112">
        <f>IFERROR(VLOOKUP($B73,MMWR_TRAD_AGG_STATE_PEN[],I$1,0),"ERROR")</f>
        <v>25</v>
      </c>
      <c r="J73" s="114">
        <f t="shared" si="9"/>
        <v>0.40322580645161288</v>
      </c>
      <c r="K73" s="111">
        <f>IFERROR(VLOOKUP($B73,MMWR_TRAD_AGG_STATE_PEN[],K$1,0),"ERROR")</f>
        <v>4</v>
      </c>
      <c r="L73" s="112">
        <f>IFERROR(VLOOKUP($B73,MMWR_TRAD_AGG_STATE_PEN[],L$1,0),"ERROR")</f>
        <v>4</v>
      </c>
      <c r="M73" s="114">
        <f t="shared" si="10"/>
        <v>1</v>
      </c>
      <c r="N73" s="111">
        <f>IFERROR(VLOOKUP($B73,MMWR_TRAD_AGG_STATE_PEN[],N$1,0),"ERROR")</f>
        <v>4</v>
      </c>
      <c r="O73" s="112">
        <f>IFERROR(VLOOKUP($B73,MMWR_TRAD_AGG_STATE_PEN[],O$1,0),"ERROR")</f>
        <v>2</v>
      </c>
      <c r="P73" s="114">
        <f t="shared" si="11"/>
        <v>0.5</v>
      </c>
      <c r="Q73" s="115">
        <f>IFERROR(VLOOKUP($B73,MMWR_TRAD_AGG_STATE_PEN[],Q$1,0),"ERROR")</f>
        <v>16</v>
      </c>
      <c r="R73" s="115">
        <f>IFERROR(VLOOKUP($B73,MMWR_TRAD_AGG_STATE_PEN[],R$1,0),"ERROR")</f>
        <v>16</v>
      </c>
      <c r="S73" s="115">
        <f>IFERROR(VLOOKUP($B73,MMWR_APP_STATE_PEN[],S$1,0),"ERROR")</f>
        <v>15</v>
      </c>
      <c r="T73" s="28"/>
    </row>
    <row r="74" spans="1:20" s="123" customFormat="1" x14ac:dyDescent="0.2">
      <c r="A74" s="28"/>
      <c r="B74" s="127" t="s">
        <v>423</v>
      </c>
      <c r="C74" s="109">
        <f>IFERROR(VLOOKUP($B74,MMWR_TRAD_AGG_STATE_PEN[],C$1,0),"ERROR")</f>
        <v>136</v>
      </c>
      <c r="D74" s="110">
        <f>IFERROR(VLOOKUP($B74,MMWR_TRAD_AGG_STATE_PEN[],D$1,0),"ERROR")</f>
        <v>105.4264705882</v>
      </c>
      <c r="E74" s="111">
        <f>IFERROR(VLOOKUP($B74,MMWR_TRAD_AGG_STATE_PEN[],E$1,0),"ERROR")</f>
        <v>144</v>
      </c>
      <c r="F74" s="112">
        <f>IFERROR(VLOOKUP($B74,MMWR_TRAD_AGG_STATE_PEN[],F$1,0),"ERROR")</f>
        <v>35</v>
      </c>
      <c r="G74" s="113">
        <f t="shared" si="8"/>
        <v>0.24305555555555555</v>
      </c>
      <c r="H74" s="111">
        <f>IFERROR(VLOOKUP($B74,MMWR_TRAD_AGG_STATE_PEN[],H$1,0),"ERROR")</f>
        <v>176</v>
      </c>
      <c r="I74" s="112">
        <f>IFERROR(VLOOKUP($B74,MMWR_TRAD_AGG_STATE_PEN[],I$1,0),"ERROR")</f>
        <v>62</v>
      </c>
      <c r="J74" s="114">
        <f t="shared" si="9"/>
        <v>0.35227272727272729</v>
      </c>
      <c r="K74" s="111">
        <f>IFERROR(VLOOKUP($B74,MMWR_TRAD_AGG_STATE_PEN[],K$1,0),"ERROR")</f>
        <v>4</v>
      </c>
      <c r="L74" s="112">
        <f>IFERROR(VLOOKUP($B74,MMWR_TRAD_AGG_STATE_PEN[],L$1,0),"ERROR")</f>
        <v>4</v>
      </c>
      <c r="M74" s="114">
        <f t="shared" si="10"/>
        <v>1</v>
      </c>
      <c r="N74" s="111">
        <f>IFERROR(VLOOKUP($B74,MMWR_TRAD_AGG_STATE_PEN[],N$1,0),"ERROR")</f>
        <v>16</v>
      </c>
      <c r="O74" s="112">
        <f>IFERROR(VLOOKUP($B74,MMWR_TRAD_AGG_STATE_PEN[],O$1,0),"ERROR")</f>
        <v>3</v>
      </c>
      <c r="P74" s="114">
        <f t="shared" si="11"/>
        <v>0.1875</v>
      </c>
      <c r="Q74" s="115">
        <f>IFERROR(VLOOKUP($B74,MMWR_TRAD_AGG_STATE_PEN[],Q$1,0),"ERROR")</f>
        <v>30</v>
      </c>
      <c r="R74" s="115">
        <f>IFERROR(VLOOKUP($B74,MMWR_TRAD_AGG_STATE_PEN[],R$1,0),"ERROR")</f>
        <v>34</v>
      </c>
      <c r="S74" s="115">
        <f>IFERROR(VLOOKUP($B74,MMWR_APP_STATE_PEN[],S$1,0),"ERROR")</f>
        <v>22</v>
      </c>
      <c r="T74" s="28"/>
    </row>
    <row r="75" spans="1:20" s="123" customFormat="1" x14ac:dyDescent="0.2">
      <c r="A75" s="28"/>
      <c r="B75" s="127" t="s">
        <v>383</v>
      </c>
      <c r="C75" s="109">
        <f>IFERROR(VLOOKUP($B75,MMWR_TRAD_AGG_STATE_PEN[],C$1,0),"ERROR")</f>
        <v>376</v>
      </c>
      <c r="D75" s="110">
        <f>IFERROR(VLOOKUP($B75,MMWR_TRAD_AGG_STATE_PEN[],D$1,0),"ERROR")</f>
        <v>98.343085106399997</v>
      </c>
      <c r="E75" s="111">
        <f>IFERROR(VLOOKUP($B75,MMWR_TRAD_AGG_STATE_PEN[],E$1,0),"ERROR")</f>
        <v>650</v>
      </c>
      <c r="F75" s="112">
        <f>IFERROR(VLOOKUP($B75,MMWR_TRAD_AGG_STATE_PEN[],F$1,0),"ERROR")</f>
        <v>128</v>
      </c>
      <c r="G75" s="113">
        <f t="shared" si="8"/>
        <v>0.19692307692307692</v>
      </c>
      <c r="H75" s="111">
        <f>IFERROR(VLOOKUP($B75,MMWR_TRAD_AGG_STATE_PEN[],H$1,0),"ERROR")</f>
        <v>511</v>
      </c>
      <c r="I75" s="112">
        <f>IFERROR(VLOOKUP($B75,MMWR_TRAD_AGG_STATE_PEN[],I$1,0),"ERROR")</f>
        <v>170</v>
      </c>
      <c r="J75" s="114">
        <f t="shared" si="9"/>
        <v>0.33268101761252444</v>
      </c>
      <c r="K75" s="111">
        <f>IFERROR(VLOOKUP($B75,MMWR_TRAD_AGG_STATE_PEN[],K$1,0),"ERROR")</f>
        <v>19</v>
      </c>
      <c r="L75" s="112">
        <f>IFERROR(VLOOKUP($B75,MMWR_TRAD_AGG_STATE_PEN[],L$1,0),"ERROR")</f>
        <v>16</v>
      </c>
      <c r="M75" s="114">
        <f t="shared" si="10"/>
        <v>0.84210526315789469</v>
      </c>
      <c r="N75" s="111">
        <f>IFERROR(VLOOKUP($B75,MMWR_TRAD_AGG_STATE_PEN[],N$1,0),"ERROR")</f>
        <v>54</v>
      </c>
      <c r="O75" s="112">
        <f>IFERROR(VLOOKUP($B75,MMWR_TRAD_AGG_STATE_PEN[],O$1,0),"ERROR")</f>
        <v>20</v>
      </c>
      <c r="P75" s="114">
        <f t="shared" si="11"/>
        <v>0.37037037037037035</v>
      </c>
      <c r="Q75" s="115">
        <f>IFERROR(VLOOKUP($B75,MMWR_TRAD_AGG_STATE_PEN[],Q$1,0),"ERROR")</f>
        <v>81</v>
      </c>
      <c r="R75" s="115">
        <f>IFERROR(VLOOKUP($B75,MMWR_TRAD_AGG_STATE_PEN[],R$1,0),"ERROR")</f>
        <v>168</v>
      </c>
      <c r="S75" s="115">
        <f>IFERROR(VLOOKUP($B75,MMWR_APP_STATE_PEN[],S$1,0),"ERROR")</f>
        <v>91</v>
      </c>
      <c r="T75" s="28"/>
    </row>
    <row r="76" spans="1:20" s="123" customFormat="1" x14ac:dyDescent="0.2">
      <c r="A76" s="28"/>
      <c r="B76" s="127" t="s">
        <v>378</v>
      </c>
      <c r="C76" s="109">
        <f>IFERROR(VLOOKUP($B76,MMWR_TRAD_AGG_STATE_PEN[],C$1,0),"ERROR")</f>
        <v>374</v>
      </c>
      <c r="D76" s="110">
        <f>IFERROR(VLOOKUP($B76,MMWR_TRAD_AGG_STATE_PEN[],D$1,0),"ERROR")</f>
        <v>100.949197861</v>
      </c>
      <c r="E76" s="111">
        <f>IFERROR(VLOOKUP($B76,MMWR_TRAD_AGG_STATE_PEN[],E$1,0),"ERROR")</f>
        <v>628</v>
      </c>
      <c r="F76" s="112">
        <f>IFERROR(VLOOKUP($B76,MMWR_TRAD_AGG_STATE_PEN[],F$1,0),"ERROR")</f>
        <v>133</v>
      </c>
      <c r="G76" s="113">
        <f t="shared" si="8"/>
        <v>0.21178343949044587</v>
      </c>
      <c r="H76" s="111">
        <f>IFERROR(VLOOKUP($B76,MMWR_TRAD_AGG_STATE_PEN[],H$1,0),"ERROR")</f>
        <v>526</v>
      </c>
      <c r="I76" s="112">
        <f>IFERROR(VLOOKUP($B76,MMWR_TRAD_AGG_STATE_PEN[],I$1,0),"ERROR")</f>
        <v>183</v>
      </c>
      <c r="J76" s="114">
        <f t="shared" si="9"/>
        <v>0.34790874524714827</v>
      </c>
      <c r="K76" s="111">
        <f>IFERROR(VLOOKUP($B76,MMWR_TRAD_AGG_STATE_PEN[],K$1,0),"ERROR")</f>
        <v>10</v>
      </c>
      <c r="L76" s="112">
        <f>IFERROR(VLOOKUP($B76,MMWR_TRAD_AGG_STATE_PEN[],L$1,0),"ERROR")</f>
        <v>10</v>
      </c>
      <c r="M76" s="114">
        <f t="shared" si="10"/>
        <v>1</v>
      </c>
      <c r="N76" s="111">
        <f>IFERROR(VLOOKUP($B76,MMWR_TRAD_AGG_STATE_PEN[],N$1,0),"ERROR")</f>
        <v>47</v>
      </c>
      <c r="O76" s="112">
        <f>IFERROR(VLOOKUP($B76,MMWR_TRAD_AGG_STATE_PEN[],O$1,0),"ERROR")</f>
        <v>18</v>
      </c>
      <c r="P76" s="114">
        <f t="shared" si="11"/>
        <v>0.38297872340425532</v>
      </c>
      <c r="Q76" s="115">
        <f>IFERROR(VLOOKUP($B76,MMWR_TRAD_AGG_STATE_PEN[],Q$1,0),"ERROR")</f>
        <v>63</v>
      </c>
      <c r="R76" s="115">
        <f>IFERROR(VLOOKUP($B76,MMWR_TRAD_AGG_STATE_PEN[],R$1,0),"ERROR")</f>
        <v>177</v>
      </c>
      <c r="S76" s="115">
        <f>IFERROR(VLOOKUP($B76,MMWR_APP_STATE_PEN[],S$1,0),"ERROR")</f>
        <v>111</v>
      </c>
      <c r="T76" s="28"/>
    </row>
    <row r="77" spans="1:20" s="123" customFormat="1" x14ac:dyDescent="0.2">
      <c r="A77" s="28"/>
      <c r="B77" s="127" t="s">
        <v>422</v>
      </c>
      <c r="C77" s="109">
        <f>IFERROR(VLOOKUP($B77,MMWR_TRAD_AGG_STATE_PEN[],C$1,0),"ERROR")</f>
        <v>118</v>
      </c>
      <c r="D77" s="110">
        <f>IFERROR(VLOOKUP($B77,MMWR_TRAD_AGG_STATE_PEN[],D$1,0),"ERROR")</f>
        <v>94.762711864400003</v>
      </c>
      <c r="E77" s="111">
        <f>IFERROR(VLOOKUP($B77,MMWR_TRAD_AGG_STATE_PEN[],E$1,0),"ERROR")</f>
        <v>149</v>
      </c>
      <c r="F77" s="112">
        <f>IFERROR(VLOOKUP($B77,MMWR_TRAD_AGG_STATE_PEN[],F$1,0),"ERROR")</f>
        <v>35</v>
      </c>
      <c r="G77" s="113">
        <f t="shared" si="8"/>
        <v>0.2348993288590604</v>
      </c>
      <c r="H77" s="111">
        <f>IFERROR(VLOOKUP($B77,MMWR_TRAD_AGG_STATE_PEN[],H$1,0),"ERROR")</f>
        <v>159</v>
      </c>
      <c r="I77" s="112">
        <f>IFERROR(VLOOKUP($B77,MMWR_TRAD_AGG_STATE_PEN[],I$1,0),"ERROR")</f>
        <v>54</v>
      </c>
      <c r="J77" s="114">
        <f t="shared" si="9"/>
        <v>0.33962264150943394</v>
      </c>
      <c r="K77" s="111">
        <f>IFERROR(VLOOKUP($B77,MMWR_TRAD_AGG_STATE_PEN[],K$1,0),"ERROR")</f>
        <v>2</v>
      </c>
      <c r="L77" s="112">
        <f>IFERROR(VLOOKUP($B77,MMWR_TRAD_AGG_STATE_PEN[],L$1,0),"ERROR")</f>
        <v>2</v>
      </c>
      <c r="M77" s="114">
        <f t="shared" si="10"/>
        <v>1</v>
      </c>
      <c r="N77" s="111">
        <f>IFERROR(VLOOKUP($B77,MMWR_TRAD_AGG_STATE_PEN[],N$1,0),"ERROR")</f>
        <v>14</v>
      </c>
      <c r="O77" s="112">
        <f>IFERROR(VLOOKUP($B77,MMWR_TRAD_AGG_STATE_PEN[],O$1,0),"ERROR")</f>
        <v>4</v>
      </c>
      <c r="P77" s="114">
        <f t="shared" si="11"/>
        <v>0.2857142857142857</v>
      </c>
      <c r="Q77" s="115">
        <f>IFERROR(VLOOKUP($B77,MMWR_TRAD_AGG_STATE_PEN[],Q$1,0),"ERROR")</f>
        <v>16</v>
      </c>
      <c r="R77" s="115">
        <f>IFERROR(VLOOKUP($B77,MMWR_TRAD_AGG_STATE_PEN[],R$1,0),"ERROR")</f>
        <v>36</v>
      </c>
      <c r="S77" s="115">
        <f>IFERROR(VLOOKUP($B77,MMWR_APP_STATE_PEN[],S$1,0),"ERROR")</f>
        <v>14</v>
      </c>
      <c r="T77" s="28"/>
    </row>
    <row r="78" spans="1:20" s="123" customFormat="1" x14ac:dyDescent="0.2">
      <c r="A78" s="28"/>
      <c r="B78" s="127" t="s">
        <v>381</v>
      </c>
      <c r="C78" s="109">
        <f>IFERROR(VLOOKUP($B78,MMWR_TRAD_AGG_STATE_PEN[],C$1,0),"ERROR")</f>
        <v>463</v>
      </c>
      <c r="D78" s="110">
        <f>IFERROR(VLOOKUP($B78,MMWR_TRAD_AGG_STATE_PEN[],D$1,0),"ERROR")</f>
        <v>102.39956803459999</v>
      </c>
      <c r="E78" s="111">
        <f>IFERROR(VLOOKUP($B78,MMWR_TRAD_AGG_STATE_PEN[],E$1,0),"ERROR")</f>
        <v>785</v>
      </c>
      <c r="F78" s="112">
        <f>IFERROR(VLOOKUP($B78,MMWR_TRAD_AGG_STATE_PEN[],F$1,0),"ERROR")</f>
        <v>166</v>
      </c>
      <c r="G78" s="113">
        <f t="shared" si="8"/>
        <v>0.21146496815286625</v>
      </c>
      <c r="H78" s="111">
        <f>IFERROR(VLOOKUP($B78,MMWR_TRAD_AGG_STATE_PEN[],H$1,0),"ERROR")</f>
        <v>612</v>
      </c>
      <c r="I78" s="112">
        <f>IFERROR(VLOOKUP($B78,MMWR_TRAD_AGG_STATE_PEN[],I$1,0),"ERROR")</f>
        <v>213</v>
      </c>
      <c r="J78" s="114">
        <f t="shared" si="9"/>
        <v>0.34803921568627449</v>
      </c>
      <c r="K78" s="111">
        <f>IFERROR(VLOOKUP($B78,MMWR_TRAD_AGG_STATE_PEN[],K$1,0),"ERROR")</f>
        <v>12</v>
      </c>
      <c r="L78" s="112">
        <f>IFERROR(VLOOKUP($B78,MMWR_TRAD_AGG_STATE_PEN[],L$1,0),"ERROR")</f>
        <v>12</v>
      </c>
      <c r="M78" s="114">
        <f t="shared" si="10"/>
        <v>1</v>
      </c>
      <c r="N78" s="111">
        <f>IFERROR(VLOOKUP($B78,MMWR_TRAD_AGG_STATE_PEN[],N$1,0),"ERROR")</f>
        <v>51</v>
      </c>
      <c r="O78" s="112">
        <f>IFERROR(VLOOKUP($B78,MMWR_TRAD_AGG_STATE_PEN[],O$1,0),"ERROR")</f>
        <v>13</v>
      </c>
      <c r="P78" s="114">
        <f t="shared" si="11"/>
        <v>0.25490196078431371</v>
      </c>
      <c r="Q78" s="115">
        <f>IFERROR(VLOOKUP($B78,MMWR_TRAD_AGG_STATE_PEN[],Q$1,0),"ERROR")</f>
        <v>84</v>
      </c>
      <c r="R78" s="115">
        <f>IFERROR(VLOOKUP($B78,MMWR_TRAD_AGG_STATE_PEN[],R$1,0),"ERROR")</f>
        <v>200</v>
      </c>
      <c r="S78" s="115">
        <f>IFERROR(VLOOKUP($B78,MMWR_APP_STATE_PEN[],S$1,0),"ERROR")</f>
        <v>174</v>
      </c>
      <c r="T78" s="28"/>
    </row>
    <row r="79" spans="1:20" s="123" customFormat="1" x14ac:dyDescent="0.2">
      <c r="A79" s="28"/>
      <c r="B79" s="127" t="s">
        <v>63</v>
      </c>
      <c r="C79" s="109">
        <f>IFERROR(VLOOKUP($B79,MMWR_TRAD_AGG_STATE_PEN[],C$1,0),"ERROR")</f>
        <v>1187</v>
      </c>
      <c r="D79" s="110">
        <f>IFERROR(VLOOKUP($B79,MMWR_TRAD_AGG_STATE_PEN[],D$1,0),"ERROR")</f>
        <v>104.9233361415</v>
      </c>
      <c r="E79" s="111">
        <f>IFERROR(VLOOKUP($B79,MMWR_TRAD_AGG_STATE_PEN[],E$1,0),"ERROR")</f>
        <v>2277</v>
      </c>
      <c r="F79" s="112">
        <f>IFERROR(VLOOKUP($B79,MMWR_TRAD_AGG_STATE_PEN[],F$1,0),"ERROR")</f>
        <v>492</v>
      </c>
      <c r="G79" s="113">
        <f t="shared" si="8"/>
        <v>0.21607378129117261</v>
      </c>
      <c r="H79" s="111">
        <f>IFERROR(VLOOKUP($B79,MMWR_TRAD_AGG_STATE_PEN[],H$1,0),"ERROR")</f>
        <v>1718</v>
      </c>
      <c r="I79" s="112">
        <f>IFERROR(VLOOKUP($B79,MMWR_TRAD_AGG_STATE_PEN[],I$1,0),"ERROR")</f>
        <v>594</v>
      </c>
      <c r="J79" s="114">
        <f t="shared" si="9"/>
        <v>0.34575087310826541</v>
      </c>
      <c r="K79" s="111">
        <f>IFERROR(VLOOKUP($B79,MMWR_TRAD_AGG_STATE_PEN[],K$1,0),"ERROR")</f>
        <v>43</v>
      </c>
      <c r="L79" s="112">
        <f>IFERROR(VLOOKUP($B79,MMWR_TRAD_AGG_STATE_PEN[],L$1,0),"ERROR")</f>
        <v>42</v>
      </c>
      <c r="M79" s="114">
        <f t="shared" si="10"/>
        <v>0.97674418604651159</v>
      </c>
      <c r="N79" s="111">
        <f>IFERROR(VLOOKUP($B79,MMWR_TRAD_AGG_STATE_PEN[],N$1,0),"ERROR")</f>
        <v>116</v>
      </c>
      <c r="O79" s="112">
        <f>IFERROR(VLOOKUP($B79,MMWR_TRAD_AGG_STATE_PEN[],O$1,0),"ERROR")</f>
        <v>49</v>
      </c>
      <c r="P79" s="114">
        <f t="shared" si="11"/>
        <v>0.42241379310344829</v>
      </c>
      <c r="Q79" s="115">
        <f>IFERROR(VLOOKUP($B79,MMWR_TRAD_AGG_STATE_PEN[],Q$1,0),"ERROR")</f>
        <v>187</v>
      </c>
      <c r="R79" s="115">
        <f>IFERROR(VLOOKUP($B79,MMWR_TRAD_AGG_STATE_PEN[],R$1,0),"ERROR")</f>
        <v>388</v>
      </c>
      <c r="S79" s="115">
        <f>IFERROR(VLOOKUP($B79,MMWR_APP_STATE_PEN[],S$1,0),"ERROR")</f>
        <v>254</v>
      </c>
      <c r="T79" s="28"/>
    </row>
    <row r="80" spans="1:20" s="123" customFormat="1" x14ac:dyDescent="0.2">
      <c r="A80" s="28"/>
      <c r="B80" s="127" t="s">
        <v>389</v>
      </c>
      <c r="C80" s="109">
        <f>IFERROR(VLOOKUP($B80,MMWR_TRAD_AGG_STATE_PEN[],C$1,0),"ERROR")</f>
        <v>1252</v>
      </c>
      <c r="D80" s="110">
        <f>IFERROR(VLOOKUP($B80,MMWR_TRAD_AGG_STATE_PEN[],D$1,0),"ERROR")</f>
        <v>107.947284345</v>
      </c>
      <c r="E80" s="111">
        <f>IFERROR(VLOOKUP($B80,MMWR_TRAD_AGG_STATE_PEN[],E$1,0),"ERROR")</f>
        <v>1516</v>
      </c>
      <c r="F80" s="112">
        <f>IFERROR(VLOOKUP($B80,MMWR_TRAD_AGG_STATE_PEN[],F$1,0),"ERROR")</f>
        <v>307</v>
      </c>
      <c r="G80" s="113">
        <f t="shared" si="8"/>
        <v>0.2025065963060686</v>
      </c>
      <c r="H80" s="111">
        <f>IFERROR(VLOOKUP($B80,MMWR_TRAD_AGG_STATE_PEN[],H$1,0),"ERROR")</f>
        <v>1781</v>
      </c>
      <c r="I80" s="112">
        <f>IFERROR(VLOOKUP($B80,MMWR_TRAD_AGG_STATE_PEN[],I$1,0),"ERROR")</f>
        <v>597</v>
      </c>
      <c r="J80" s="114">
        <f t="shared" si="9"/>
        <v>0.33520494104435711</v>
      </c>
      <c r="K80" s="111">
        <f>IFERROR(VLOOKUP($B80,MMWR_TRAD_AGG_STATE_PEN[],K$1,0),"ERROR")</f>
        <v>53</v>
      </c>
      <c r="L80" s="112">
        <f>IFERROR(VLOOKUP($B80,MMWR_TRAD_AGG_STATE_PEN[],L$1,0),"ERROR")</f>
        <v>50</v>
      </c>
      <c r="M80" s="114">
        <f t="shared" si="10"/>
        <v>0.94339622641509435</v>
      </c>
      <c r="N80" s="111">
        <f>IFERROR(VLOOKUP($B80,MMWR_TRAD_AGG_STATE_PEN[],N$1,0),"ERROR")</f>
        <v>136</v>
      </c>
      <c r="O80" s="112">
        <f>IFERROR(VLOOKUP($B80,MMWR_TRAD_AGG_STATE_PEN[],O$1,0),"ERROR")</f>
        <v>47</v>
      </c>
      <c r="P80" s="114">
        <f t="shared" si="11"/>
        <v>0.34558823529411764</v>
      </c>
      <c r="Q80" s="115">
        <f>IFERROR(VLOOKUP($B80,MMWR_TRAD_AGG_STATE_PEN[],Q$1,0),"ERROR")</f>
        <v>322</v>
      </c>
      <c r="R80" s="115">
        <f>IFERROR(VLOOKUP($B80,MMWR_TRAD_AGG_STATE_PEN[],R$1,0),"ERROR")</f>
        <v>461</v>
      </c>
      <c r="S80" s="115">
        <f>IFERROR(VLOOKUP($B80,MMWR_APP_STATE_PEN[],S$1,0),"ERROR")</f>
        <v>224</v>
      </c>
      <c r="T80" s="28"/>
    </row>
    <row r="81" spans="1:20" s="123" customFormat="1" x14ac:dyDescent="0.2">
      <c r="A81" s="28"/>
      <c r="B81" s="127" t="s">
        <v>382</v>
      </c>
      <c r="C81" s="109">
        <f>IFERROR(VLOOKUP($B81,MMWR_TRAD_AGG_STATE_PEN[],C$1,0),"ERROR")</f>
        <v>1586</v>
      </c>
      <c r="D81" s="110">
        <f>IFERROR(VLOOKUP($B81,MMWR_TRAD_AGG_STATE_PEN[],D$1,0),"ERROR")</f>
        <v>101.5712484237</v>
      </c>
      <c r="E81" s="111">
        <f>IFERROR(VLOOKUP($B81,MMWR_TRAD_AGG_STATE_PEN[],E$1,0),"ERROR")</f>
        <v>2686</v>
      </c>
      <c r="F81" s="112">
        <f>IFERROR(VLOOKUP($B81,MMWR_TRAD_AGG_STATE_PEN[],F$1,0),"ERROR")</f>
        <v>532</v>
      </c>
      <c r="G81" s="113">
        <f t="shared" si="8"/>
        <v>0.19806403574087864</v>
      </c>
      <c r="H81" s="111">
        <f>IFERROR(VLOOKUP($B81,MMWR_TRAD_AGG_STATE_PEN[],H$1,0),"ERROR")</f>
        <v>2274</v>
      </c>
      <c r="I81" s="112">
        <f>IFERROR(VLOOKUP($B81,MMWR_TRAD_AGG_STATE_PEN[],I$1,0),"ERROR")</f>
        <v>775</v>
      </c>
      <c r="J81" s="114">
        <f t="shared" si="9"/>
        <v>0.34080914687774844</v>
      </c>
      <c r="K81" s="111">
        <f>IFERROR(VLOOKUP($B81,MMWR_TRAD_AGG_STATE_PEN[],K$1,0),"ERROR")</f>
        <v>43</v>
      </c>
      <c r="L81" s="112">
        <f>IFERROR(VLOOKUP($B81,MMWR_TRAD_AGG_STATE_PEN[],L$1,0),"ERROR")</f>
        <v>39</v>
      </c>
      <c r="M81" s="114">
        <f t="shared" si="10"/>
        <v>0.90697674418604646</v>
      </c>
      <c r="N81" s="111">
        <f>IFERROR(VLOOKUP($B81,MMWR_TRAD_AGG_STATE_PEN[],N$1,0),"ERROR")</f>
        <v>141</v>
      </c>
      <c r="O81" s="112">
        <f>IFERROR(VLOOKUP($B81,MMWR_TRAD_AGG_STATE_PEN[],O$1,0),"ERROR")</f>
        <v>26</v>
      </c>
      <c r="P81" s="114">
        <f t="shared" si="11"/>
        <v>0.18439716312056736</v>
      </c>
      <c r="Q81" s="115">
        <f>IFERROR(VLOOKUP($B81,MMWR_TRAD_AGG_STATE_PEN[],Q$1,0),"ERROR")</f>
        <v>189</v>
      </c>
      <c r="R81" s="115">
        <f>IFERROR(VLOOKUP($B81,MMWR_TRAD_AGG_STATE_PEN[],R$1,0),"ERROR")</f>
        <v>467</v>
      </c>
      <c r="S81" s="115">
        <f>IFERROR(VLOOKUP($B81,MMWR_APP_STATE_PEN[],S$1,0),"ERROR")</f>
        <v>272</v>
      </c>
      <c r="T81" s="28"/>
    </row>
    <row r="82" spans="1:20" s="123" customFormat="1" x14ac:dyDescent="0.2">
      <c r="A82" s="28"/>
      <c r="B82" s="127" t="s">
        <v>379</v>
      </c>
      <c r="C82" s="109">
        <f>IFERROR(VLOOKUP($B82,MMWR_TRAD_AGG_STATE_PEN[],C$1,0),"ERROR")</f>
        <v>87</v>
      </c>
      <c r="D82" s="110">
        <f>IFERROR(VLOOKUP($B82,MMWR_TRAD_AGG_STATE_PEN[],D$1,0),"ERROR")</f>
        <v>83.770114942500001</v>
      </c>
      <c r="E82" s="111">
        <f>IFERROR(VLOOKUP($B82,MMWR_TRAD_AGG_STATE_PEN[],E$1,0),"ERROR")</f>
        <v>171</v>
      </c>
      <c r="F82" s="112">
        <f>IFERROR(VLOOKUP($B82,MMWR_TRAD_AGG_STATE_PEN[],F$1,0),"ERROR")</f>
        <v>36</v>
      </c>
      <c r="G82" s="113">
        <f t="shared" si="8"/>
        <v>0.21052631578947367</v>
      </c>
      <c r="H82" s="111">
        <f>IFERROR(VLOOKUP($B82,MMWR_TRAD_AGG_STATE_PEN[],H$1,0),"ERROR")</f>
        <v>135</v>
      </c>
      <c r="I82" s="112">
        <f>IFERROR(VLOOKUP($B82,MMWR_TRAD_AGG_STATE_PEN[],I$1,0),"ERROR")</f>
        <v>34</v>
      </c>
      <c r="J82" s="114">
        <f t="shared" si="9"/>
        <v>0.25185185185185183</v>
      </c>
      <c r="K82" s="111">
        <f>IFERROR(VLOOKUP($B82,MMWR_TRAD_AGG_STATE_PEN[],K$1,0),"ERROR")</f>
        <v>5</v>
      </c>
      <c r="L82" s="112">
        <f>IFERROR(VLOOKUP($B82,MMWR_TRAD_AGG_STATE_PEN[],L$1,0),"ERROR")</f>
        <v>5</v>
      </c>
      <c r="M82" s="114">
        <f t="shared" si="10"/>
        <v>1</v>
      </c>
      <c r="N82" s="111">
        <f>IFERROR(VLOOKUP($B82,MMWR_TRAD_AGG_STATE_PEN[],N$1,0),"ERROR")</f>
        <v>13</v>
      </c>
      <c r="O82" s="112">
        <f>IFERROR(VLOOKUP($B82,MMWR_TRAD_AGG_STATE_PEN[],O$1,0),"ERROR")</f>
        <v>2</v>
      </c>
      <c r="P82" s="114">
        <f t="shared" si="11"/>
        <v>0.15384615384615385</v>
      </c>
      <c r="Q82" s="115">
        <f>IFERROR(VLOOKUP($B82,MMWR_TRAD_AGG_STATE_PEN[],Q$1,0),"ERROR")</f>
        <v>18</v>
      </c>
      <c r="R82" s="115">
        <f>IFERROR(VLOOKUP($B82,MMWR_TRAD_AGG_STATE_PEN[],R$1,0),"ERROR")</f>
        <v>28</v>
      </c>
      <c r="S82" s="115">
        <f>IFERROR(VLOOKUP($B82,MMWR_APP_STATE_PEN[],S$1,0),"ERROR")</f>
        <v>21</v>
      </c>
      <c r="T82" s="28"/>
    </row>
    <row r="83" spans="1:20" s="123" customFormat="1" x14ac:dyDescent="0.2">
      <c r="A83" s="28"/>
      <c r="B83" s="127" t="s">
        <v>424</v>
      </c>
      <c r="C83" s="109">
        <f>IFERROR(VLOOKUP($B83,MMWR_TRAD_AGG_STATE_PEN[],C$1,0),"ERROR")</f>
        <v>33</v>
      </c>
      <c r="D83" s="110">
        <f>IFERROR(VLOOKUP($B83,MMWR_TRAD_AGG_STATE_PEN[],D$1,0),"ERROR")</f>
        <v>105.06060606059999</v>
      </c>
      <c r="E83" s="111">
        <f>IFERROR(VLOOKUP($B83,MMWR_TRAD_AGG_STATE_PEN[],E$1,0),"ERROR")</f>
        <v>48</v>
      </c>
      <c r="F83" s="112">
        <f>IFERROR(VLOOKUP($B83,MMWR_TRAD_AGG_STATE_PEN[],F$1,0),"ERROR")</f>
        <v>9</v>
      </c>
      <c r="G83" s="113">
        <f t="shared" si="8"/>
        <v>0.1875</v>
      </c>
      <c r="H83" s="111">
        <f>IFERROR(VLOOKUP($B83,MMWR_TRAD_AGG_STATE_PEN[],H$1,0),"ERROR")</f>
        <v>41</v>
      </c>
      <c r="I83" s="112">
        <f>IFERROR(VLOOKUP($B83,MMWR_TRAD_AGG_STATE_PEN[],I$1,0),"ERROR")</f>
        <v>10</v>
      </c>
      <c r="J83" s="114">
        <f t="shared" si="9"/>
        <v>0.24390243902439024</v>
      </c>
      <c r="K83" s="111">
        <f>IFERROR(VLOOKUP($B83,MMWR_TRAD_AGG_STATE_PEN[],K$1,0),"ERROR")</f>
        <v>1</v>
      </c>
      <c r="L83" s="112">
        <f>IFERROR(VLOOKUP($B83,MMWR_TRAD_AGG_STATE_PEN[],L$1,0),"ERROR")</f>
        <v>1</v>
      </c>
      <c r="M83" s="114">
        <f t="shared" si="10"/>
        <v>1</v>
      </c>
      <c r="N83" s="111">
        <f>IFERROR(VLOOKUP($B83,MMWR_TRAD_AGG_STATE_PEN[],N$1,0),"ERROR")</f>
        <v>6</v>
      </c>
      <c r="O83" s="112">
        <f>IFERROR(VLOOKUP($B83,MMWR_TRAD_AGG_STATE_PEN[],O$1,0),"ERROR")</f>
        <v>3</v>
      </c>
      <c r="P83" s="114">
        <f t="shared" si="11"/>
        <v>0.5</v>
      </c>
      <c r="Q83" s="115">
        <f>IFERROR(VLOOKUP($B83,MMWR_TRAD_AGG_STATE_PEN[],Q$1,0),"ERROR")</f>
        <v>11</v>
      </c>
      <c r="R83" s="115">
        <f>IFERROR(VLOOKUP($B83,MMWR_TRAD_AGG_STATE_PEN[],R$1,0),"ERROR")</f>
        <v>9</v>
      </c>
      <c r="S83" s="115">
        <f>IFERROR(VLOOKUP($B83,MMWR_APP_STATE_PEN[],S$1,0),"ERROR")</f>
        <v>12</v>
      </c>
      <c r="T83" s="28"/>
    </row>
    <row r="84" spans="1:20" s="123" customFormat="1" x14ac:dyDescent="0.2">
      <c r="A84" s="28"/>
      <c r="B84" s="127" t="s">
        <v>385</v>
      </c>
      <c r="C84" s="109">
        <f>IFERROR(VLOOKUP($B84,MMWR_TRAD_AGG_STATE_PEN[],C$1,0),"ERROR")</f>
        <v>766</v>
      </c>
      <c r="D84" s="110">
        <f>IFERROR(VLOOKUP($B84,MMWR_TRAD_AGG_STATE_PEN[],D$1,0),"ERROR")</f>
        <v>103.37859007829999</v>
      </c>
      <c r="E84" s="111">
        <f>IFERROR(VLOOKUP($B84,MMWR_TRAD_AGG_STATE_PEN[],E$1,0),"ERROR")</f>
        <v>864</v>
      </c>
      <c r="F84" s="112">
        <f>IFERROR(VLOOKUP($B84,MMWR_TRAD_AGG_STATE_PEN[],F$1,0),"ERROR")</f>
        <v>195</v>
      </c>
      <c r="G84" s="113">
        <f t="shared" si="8"/>
        <v>0.22569444444444445</v>
      </c>
      <c r="H84" s="111">
        <f>IFERROR(VLOOKUP($B84,MMWR_TRAD_AGG_STATE_PEN[],H$1,0),"ERROR")</f>
        <v>1052</v>
      </c>
      <c r="I84" s="112">
        <f>IFERROR(VLOOKUP($B84,MMWR_TRAD_AGG_STATE_PEN[],I$1,0),"ERROR")</f>
        <v>344</v>
      </c>
      <c r="J84" s="114">
        <f t="shared" si="9"/>
        <v>0.3269961977186312</v>
      </c>
      <c r="K84" s="111">
        <f>IFERROR(VLOOKUP($B84,MMWR_TRAD_AGG_STATE_PEN[],K$1,0),"ERROR")</f>
        <v>148</v>
      </c>
      <c r="L84" s="112">
        <f>IFERROR(VLOOKUP($B84,MMWR_TRAD_AGG_STATE_PEN[],L$1,0),"ERROR")</f>
        <v>147</v>
      </c>
      <c r="M84" s="114">
        <f t="shared" si="10"/>
        <v>0.9932432432432432</v>
      </c>
      <c r="N84" s="111">
        <f>IFERROR(VLOOKUP($B84,MMWR_TRAD_AGG_STATE_PEN[],N$1,0),"ERROR")</f>
        <v>67</v>
      </c>
      <c r="O84" s="112">
        <f>IFERROR(VLOOKUP($B84,MMWR_TRAD_AGG_STATE_PEN[],O$1,0),"ERROR")</f>
        <v>27</v>
      </c>
      <c r="P84" s="114">
        <f t="shared" si="11"/>
        <v>0.40298507462686567</v>
      </c>
      <c r="Q84" s="115">
        <f>IFERROR(VLOOKUP($B84,MMWR_TRAD_AGG_STATE_PEN[],Q$1,0),"ERROR")</f>
        <v>168</v>
      </c>
      <c r="R84" s="115">
        <f>IFERROR(VLOOKUP($B84,MMWR_TRAD_AGG_STATE_PEN[],R$1,0),"ERROR")</f>
        <v>319</v>
      </c>
      <c r="S84" s="115">
        <f>IFERROR(VLOOKUP($B84,MMWR_APP_STATE_PEN[],S$1,0),"ERROR")</f>
        <v>168</v>
      </c>
      <c r="T84" s="28"/>
    </row>
    <row r="85" spans="1:20" s="123" customFormat="1" x14ac:dyDescent="0.2">
      <c r="A85" s="28"/>
      <c r="B85" s="127" t="s">
        <v>386</v>
      </c>
      <c r="C85" s="109">
        <f>IFERROR(VLOOKUP($B85,MMWR_TRAD_AGG_STATE_PEN[],C$1,0),"ERROR")</f>
        <v>238</v>
      </c>
      <c r="D85" s="110">
        <f>IFERROR(VLOOKUP($B85,MMWR_TRAD_AGG_STATE_PEN[],D$1,0),"ERROR")</f>
        <v>107.8067226891</v>
      </c>
      <c r="E85" s="111">
        <f>IFERROR(VLOOKUP($B85,MMWR_TRAD_AGG_STATE_PEN[],E$1,0),"ERROR")</f>
        <v>283</v>
      </c>
      <c r="F85" s="112">
        <f>IFERROR(VLOOKUP($B85,MMWR_TRAD_AGG_STATE_PEN[],F$1,0),"ERROR")</f>
        <v>45</v>
      </c>
      <c r="G85" s="113">
        <f t="shared" si="8"/>
        <v>0.15901060070671377</v>
      </c>
      <c r="H85" s="111">
        <f>IFERROR(VLOOKUP($B85,MMWR_TRAD_AGG_STATE_PEN[],H$1,0),"ERROR")</f>
        <v>305</v>
      </c>
      <c r="I85" s="112">
        <f>IFERROR(VLOOKUP($B85,MMWR_TRAD_AGG_STATE_PEN[],I$1,0),"ERROR")</f>
        <v>120</v>
      </c>
      <c r="J85" s="114">
        <f t="shared" si="9"/>
        <v>0.39344262295081966</v>
      </c>
      <c r="K85" s="111">
        <f>IFERROR(VLOOKUP($B85,MMWR_TRAD_AGG_STATE_PEN[],K$1,0),"ERROR")</f>
        <v>7</v>
      </c>
      <c r="L85" s="112">
        <f>IFERROR(VLOOKUP($B85,MMWR_TRAD_AGG_STATE_PEN[],L$1,0),"ERROR")</f>
        <v>7</v>
      </c>
      <c r="M85" s="114">
        <f t="shared" si="10"/>
        <v>1</v>
      </c>
      <c r="N85" s="111">
        <f>IFERROR(VLOOKUP($B85,MMWR_TRAD_AGG_STATE_PEN[],N$1,0),"ERROR")</f>
        <v>21</v>
      </c>
      <c r="O85" s="112">
        <f>IFERROR(VLOOKUP($B85,MMWR_TRAD_AGG_STATE_PEN[],O$1,0),"ERROR")</f>
        <v>7</v>
      </c>
      <c r="P85" s="114">
        <f t="shared" si="11"/>
        <v>0.33333333333333331</v>
      </c>
      <c r="Q85" s="115">
        <f>IFERROR(VLOOKUP($B85,MMWR_TRAD_AGG_STATE_PEN[],Q$1,0),"ERROR")</f>
        <v>44</v>
      </c>
      <c r="R85" s="115">
        <f>IFERROR(VLOOKUP($B85,MMWR_TRAD_AGG_STATE_PEN[],R$1,0),"ERROR")</f>
        <v>71</v>
      </c>
      <c r="S85" s="115">
        <f>IFERROR(VLOOKUP($B85,MMWR_APP_STATE_PEN[],S$1,0),"ERROR")</f>
        <v>47</v>
      </c>
      <c r="T85" s="28"/>
    </row>
    <row r="86" spans="1:20" s="123" customFormat="1" x14ac:dyDescent="0.2">
      <c r="A86" s="28"/>
      <c r="B86" s="126" t="s">
        <v>397</v>
      </c>
      <c r="C86" s="102">
        <f>IFERROR(VLOOKUP($B86,MMWR_TRAD_AGG_ST_DISTRICT_PEN[],C$1,0),"ERROR")</f>
        <v>2086</v>
      </c>
      <c r="D86" s="103">
        <f>IFERROR(VLOOKUP($B86,MMWR_TRAD_AGG_ST_DISTRICT_PEN[],D$1,0),"ERROR")</f>
        <v>56.587248322100002</v>
      </c>
      <c r="E86" s="102">
        <f>IFERROR(VLOOKUP($B86,MMWR_TRAD_AGG_ST_DISTRICT_PEN[],E$1,0),"ERROR")</f>
        <v>6149</v>
      </c>
      <c r="F86" s="102">
        <f>IFERROR(VLOOKUP($B86,MMWR_TRAD_AGG_ST_DISTRICT_PEN[],F$1,0),"ERROR")</f>
        <v>472</v>
      </c>
      <c r="G86" s="104">
        <f t="shared" si="8"/>
        <v>7.6760448853472107E-2</v>
      </c>
      <c r="H86" s="102">
        <f>IFERROR(VLOOKUP($B86,MMWR_TRAD_AGG_ST_DISTRICT_PEN[],H$1,0),"ERROR")</f>
        <v>3527</v>
      </c>
      <c r="I86" s="102">
        <f>IFERROR(VLOOKUP($B86,MMWR_TRAD_AGG_ST_DISTRICT_PEN[],I$1,0),"ERROR")</f>
        <v>205</v>
      </c>
      <c r="J86" s="104">
        <f t="shared" si="9"/>
        <v>5.8123050751346751E-2</v>
      </c>
      <c r="K86" s="102">
        <f>IFERROR(VLOOKUP($B86,MMWR_TRAD_AGG_ST_DISTRICT_PEN[],K$1,0),"ERROR")</f>
        <v>18</v>
      </c>
      <c r="L86" s="102">
        <f>IFERROR(VLOOKUP($B86,MMWR_TRAD_AGG_ST_DISTRICT_PEN[],L$1,0),"ERROR")</f>
        <v>11</v>
      </c>
      <c r="M86" s="104">
        <f t="shared" si="10"/>
        <v>0.61111111111111116</v>
      </c>
      <c r="N86" s="102">
        <f>IFERROR(VLOOKUP($B86,MMWR_TRAD_AGG_ST_DISTRICT_PEN[],N$1,0),"ERROR")</f>
        <v>267</v>
      </c>
      <c r="O86" s="102">
        <f>IFERROR(VLOOKUP($B86,MMWR_TRAD_AGG_ST_DISTRICT_PEN[],O$1,0),"ERROR")</f>
        <v>68</v>
      </c>
      <c r="P86" s="104">
        <f t="shared" si="11"/>
        <v>0.25468164794007492</v>
      </c>
      <c r="Q86" s="102">
        <f>IFERROR(VLOOKUP($B86,MMWR_TRAD_AGG_ST_DISTRICT_PEN[],Q$1,0),"ERROR")</f>
        <v>1766</v>
      </c>
      <c r="R86" s="106">
        <f>IFERROR(VLOOKUP($B86,MMWR_TRAD_AGG_ST_DISTRICT_PEN[],R$1,0),"ERROR")</f>
        <v>530</v>
      </c>
      <c r="S86" s="106">
        <f>IFERROR(VLOOKUP($B86,MMWR_APP_STATE_PEN[],S$1,0),"ERROR")</f>
        <v>1669</v>
      </c>
      <c r="T86" s="28"/>
    </row>
    <row r="87" spans="1:20" s="123" customFormat="1" x14ac:dyDescent="0.2">
      <c r="A87" s="28"/>
      <c r="B87" s="127" t="s">
        <v>401</v>
      </c>
      <c r="C87" s="109">
        <f>IFERROR(VLOOKUP($B87,MMWR_TRAD_AGG_STATE_PEN[],C$1,0),"ERROR")</f>
        <v>327</v>
      </c>
      <c r="D87" s="110">
        <f>IFERROR(VLOOKUP($B87,MMWR_TRAD_AGG_STATE_PEN[],D$1,0),"ERROR")</f>
        <v>59.333333333299997</v>
      </c>
      <c r="E87" s="111">
        <f>IFERROR(VLOOKUP($B87,MMWR_TRAD_AGG_STATE_PEN[],E$1,0),"ERROR")</f>
        <v>928</v>
      </c>
      <c r="F87" s="112">
        <f>IFERROR(VLOOKUP($B87,MMWR_TRAD_AGG_STATE_PEN[],F$1,0),"ERROR")</f>
        <v>80</v>
      </c>
      <c r="G87" s="113">
        <f t="shared" si="8"/>
        <v>8.6206896551724144E-2</v>
      </c>
      <c r="H87" s="111">
        <f>IFERROR(VLOOKUP($B87,MMWR_TRAD_AGG_STATE_PEN[],H$1,0),"ERROR")</f>
        <v>509</v>
      </c>
      <c r="I87" s="112">
        <f>IFERROR(VLOOKUP($B87,MMWR_TRAD_AGG_STATE_PEN[],I$1,0),"ERROR")</f>
        <v>30</v>
      </c>
      <c r="J87" s="114">
        <f t="shared" si="9"/>
        <v>5.8939096267190572E-2</v>
      </c>
      <c r="K87" s="111">
        <f>IFERROR(VLOOKUP($B87,MMWR_TRAD_AGG_STATE_PEN[],K$1,0),"ERROR")</f>
        <v>2</v>
      </c>
      <c r="L87" s="112">
        <f>IFERROR(VLOOKUP($B87,MMWR_TRAD_AGG_STATE_PEN[],L$1,0),"ERROR")</f>
        <v>1</v>
      </c>
      <c r="M87" s="114">
        <f t="shared" si="10"/>
        <v>0.5</v>
      </c>
      <c r="N87" s="111">
        <f>IFERROR(VLOOKUP($B87,MMWR_TRAD_AGG_STATE_PEN[],N$1,0),"ERROR")</f>
        <v>56</v>
      </c>
      <c r="O87" s="112">
        <f>IFERROR(VLOOKUP($B87,MMWR_TRAD_AGG_STATE_PEN[],O$1,0),"ERROR")</f>
        <v>14</v>
      </c>
      <c r="P87" s="114">
        <f t="shared" si="11"/>
        <v>0.25</v>
      </c>
      <c r="Q87" s="115">
        <f>IFERROR(VLOOKUP($B87,MMWR_TRAD_AGG_STATE_PEN[],Q$1,0),"ERROR")</f>
        <v>87</v>
      </c>
      <c r="R87" s="115">
        <f>IFERROR(VLOOKUP($B87,MMWR_TRAD_AGG_STATE_PEN[],R$1,0),"ERROR")</f>
        <v>128</v>
      </c>
      <c r="S87" s="115">
        <f>IFERROR(VLOOKUP($B87,MMWR_APP_STATE_PEN[],S$1,0),"ERROR")</f>
        <v>357</v>
      </c>
      <c r="T87" s="28"/>
    </row>
    <row r="88" spans="1:20" s="123" customFormat="1" x14ac:dyDescent="0.2">
      <c r="A88" s="28"/>
      <c r="B88" s="127" t="s">
        <v>399</v>
      </c>
      <c r="C88" s="109">
        <f>IFERROR(VLOOKUP($B88,MMWR_TRAD_AGG_STATE_PEN[],C$1,0),"ERROR")</f>
        <v>195</v>
      </c>
      <c r="D88" s="110">
        <f>IFERROR(VLOOKUP($B88,MMWR_TRAD_AGG_STATE_PEN[],D$1,0),"ERROR")</f>
        <v>69.241025640999993</v>
      </c>
      <c r="E88" s="111">
        <f>IFERROR(VLOOKUP($B88,MMWR_TRAD_AGG_STATE_PEN[],E$1,0),"ERROR")</f>
        <v>627</v>
      </c>
      <c r="F88" s="112">
        <f>IFERROR(VLOOKUP($B88,MMWR_TRAD_AGG_STATE_PEN[],F$1,0),"ERROR")</f>
        <v>74</v>
      </c>
      <c r="G88" s="113">
        <f t="shared" si="8"/>
        <v>0.11802232854864433</v>
      </c>
      <c r="H88" s="111">
        <f>IFERROR(VLOOKUP($B88,MMWR_TRAD_AGG_STATE_PEN[],H$1,0),"ERROR")</f>
        <v>355</v>
      </c>
      <c r="I88" s="112">
        <f>IFERROR(VLOOKUP($B88,MMWR_TRAD_AGG_STATE_PEN[],I$1,0),"ERROR")</f>
        <v>33</v>
      </c>
      <c r="J88" s="114">
        <f t="shared" si="9"/>
        <v>9.295774647887324E-2</v>
      </c>
      <c r="K88" s="111">
        <f>IFERROR(VLOOKUP($B88,MMWR_TRAD_AGG_STATE_PEN[],K$1,0),"ERROR")</f>
        <v>3</v>
      </c>
      <c r="L88" s="112">
        <f>IFERROR(VLOOKUP($B88,MMWR_TRAD_AGG_STATE_PEN[],L$1,0),"ERROR")</f>
        <v>3</v>
      </c>
      <c r="M88" s="114">
        <f t="shared" si="10"/>
        <v>1</v>
      </c>
      <c r="N88" s="111">
        <f>IFERROR(VLOOKUP($B88,MMWR_TRAD_AGG_STATE_PEN[],N$1,0),"ERROR")</f>
        <v>26</v>
      </c>
      <c r="O88" s="112">
        <f>IFERROR(VLOOKUP($B88,MMWR_TRAD_AGG_STATE_PEN[],O$1,0),"ERROR")</f>
        <v>13</v>
      </c>
      <c r="P88" s="114">
        <f t="shared" si="11"/>
        <v>0.5</v>
      </c>
      <c r="Q88" s="115">
        <f>IFERROR(VLOOKUP($B88,MMWR_TRAD_AGG_STATE_PEN[],Q$1,0),"ERROR")</f>
        <v>59</v>
      </c>
      <c r="R88" s="115">
        <f>IFERROR(VLOOKUP($B88,MMWR_TRAD_AGG_STATE_PEN[],R$1,0),"ERROR")</f>
        <v>67</v>
      </c>
      <c r="S88" s="115">
        <f>IFERROR(VLOOKUP($B88,MMWR_APP_STATE_PEN[],S$1,0),"ERROR")</f>
        <v>196</v>
      </c>
      <c r="T88" s="28"/>
    </row>
    <row r="89" spans="1:20" s="123" customFormat="1" x14ac:dyDescent="0.2">
      <c r="A89" s="28"/>
      <c r="B89" s="127" t="s">
        <v>406</v>
      </c>
      <c r="C89" s="109">
        <f>IFERROR(VLOOKUP($B89,MMWR_TRAD_AGG_STATE_PEN[],C$1,0),"ERROR")</f>
        <v>93</v>
      </c>
      <c r="D89" s="110">
        <f>IFERROR(VLOOKUP($B89,MMWR_TRAD_AGG_STATE_PEN[],D$1,0),"ERROR")</f>
        <v>47.268817204299999</v>
      </c>
      <c r="E89" s="111">
        <f>IFERROR(VLOOKUP($B89,MMWR_TRAD_AGG_STATE_PEN[],E$1,0),"ERROR")</f>
        <v>306</v>
      </c>
      <c r="F89" s="112">
        <f>IFERROR(VLOOKUP($B89,MMWR_TRAD_AGG_STATE_PEN[],F$1,0),"ERROR")</f>
        <v>6</v>
      </c>
      <c r="G89" s="113">
        <f t="shared" si="8"/>
        <v>1.9607843137254902E-2</v>
      </c>
      <c r="H89" s="111">
        <f>IFERROR(VLOOKUP($B89,MMWR_TRAD_AGG_STATE_PEN[],H$1,0),"ERROR")</f>
        <v>149</v>
      </c>
      <c r="I89" s="112">
        <f>IFERROR(VLOOKUP($B89,MMWR_TRAD_AGG_STATE_PEN[],I$1,0),"ERROR")</f>
        <v>3</v>
      </c>
      <c r="J89" s="114">
        <f t="shared" si="9"/>
        <v>2.0134228187919462E-2</v>
      </c>
      <c r="K89" s="111">
        <f>IFERROR(VLOOKUP($B89,MMWR_TRAD_AGG_STATE_PEN[],K$1,0),"ERROR")</f>
        <v>0</v>
      </c>
      <c r="L89" s="112">
        <f>IFERROR(VLOOKUP($B89,MMWR_TRAD_AGG_STATE_PEN[],L$1,0),"ERROR")</f>
        <v>0</v>
      </c>
      <c r="M89" s="114" t="str">
        <f t="shared" si="10"/>
        <v>0%</v>
      </c>
      <c r="N89" s="111">
        <f>IFERROR(VLOOKUP($B89,MMWR_TRAD_AGG_STATE_PEN[],N$1,0),"ERROR")</f>
        <v>10</v>
      </c>
      <c r="O89" s="112">
        <f>IFERROR(VLOOKUP($B89,MMWR_TRAD_AGG_STATE_PEN[],O$1,0),"ERROR")</f>
        <v>1</v>
      </c>
      <c r="P89" s="114">
        <f t="shared" si="11"/>
        <v>0.1</v>
      </c>
      <c r="Q89" s="115">
        <f>IFERROR(VLOOKUP($B89,MMWR_TRAD_AGG_STATE_PEN[],Q$1,0),"ERROR")</f>
        <v>273</v>
      </c>
      <c r="R89" s="115">
        <f>IFERROR(VLOOKUP($B89,MMWR_TRAD_AGG_STATE_PEN[],R$1,0),"ERROR")</f>
        <v>11</v>
      </c>
      <c r="S89" s="115">
        <f>IFERROR(VLOOKUP($B89,MMWR_APP_STATE_PEN[],S$1,0),"ERROR")</f>
        <v>27</v>
      </c>
      <c r="T89" s="28"/>
    </row>
    <row r="90" spans="1:20" s="123" customFormat="1" x14ac:dyDescent="0.2">
      <c r="A90" s="28"/>
      <c r="B90" s="127" t="s">
        <v>429</v>
      </c>
      <c r="C90" s="109">
        <f>IFERROR(VLOOKUP($B90,MMWR_TRAD_AGG_STATE_PEN[],C$1,0),"ERROR")</f>
        <v>74</v>
      </c>
      <c r="D90" s="110">
        <f>IFERROR(VLOOKUP($B90,MMWR_TRAD_AGG_STATE_PEN[],D$1,0),"ERROR")</f>
        <v>47.297297297299998</v>
      </c>
      <c r="E90" s="111">
        <f>IFERROR(VLOOKUP($B90,MMWR_TRAD_AGG_STATE_PEN[],E$1,0),"ERROR")</f>
        <v>210</v>
      </c>
      <c r="F90" s="112">
        <f>IFERROR(VLOOKUP($B90,MMWR_TRAD_AGG_STATE_PEN[],F$1,0),"ERROR")</f>
        <v>5</v>
      </c>
      <c r="G90" s="113">
        <f t="shared" si="8"/>
        <v>2.3809523809523808E-2</v>
      </c>
      <c r="H90" s="111">
        <f>IFERROR(VLOOKUP($B90,MMWR_TRAD_AGG_STATE_PEN[],H$1,0),"ERROR")</f>
        <v>116</v>
      </c>
      <c r="I90" s="112">
        <f>IFERROR(VLOOKUP($B90,MMWR_TRAD_AGG_STATE_PEN[],I$1,0),"ERROR")</f>
        <v>3</v>
      </c>
      <c r="J90" s="114">
        <f t="shared" si="9"/>
        <v>2.5862068965517241E-2</v>
      </c>
      <c r="K90" s="111">
        <f>IFERROR(VLOOKUP($B90,MMWR_TRAD_AGG_STATE_PEN[],K$1,0),"ERROR")</f>
        <v>1</v>
      </c>
      <c r="L90" s="112">
        <f>IFERROR(VLOOKUP($B90,MMWR_TRAD_AGG_STATE_PEN[],L$1,0),"ERROR")</f>
        <v>1</v>
      </c>
      <c r="M90" s="114">
        <f t="shared" si="10"/>
        <v>1</v>
      </c>
      <c r="N90" s="111">
        <f>IFERROR(VLOOKUP($B90,MMWR_TRAD_AGG_STATE_PEN[],N$1,0),"ERROR")</f>
        <v>4</v>
      </c>
      <c r="O90" s="112">
        <f>IFERROR(VLOOKUP($B90,MMWR_TRAD_AGG_STATE_PEN[],O$1,0),"ERROR")</f>
        <v>1</v>
      </c>
      <c r="P90" s="114">
        <f t="shared" si="11"/>
        <v>0.25</v>
      </c>
      <c r="Q90" s="115">
        <f>IFERROR(VLOOKUP($B90,MMWR_TRAD_AGG_STATE_PEN[],Q$1,0),"ERROR")</f>
        <v>134</v>
      </c>
      <c r="R90" s="115">
        <f>IFERROR(VLOOKUP($B90,MMWR_TRAD_AGG_STATE_PEN[],R$1,0),"ERROR")</f>
        <v>25</v>
      </c>
      <c r="S90" s="115">
        <f>IFERROR(VLOOKUP($B90,MMWR_APP_STATE_PEN[],S$1,0),"ERROR")</f>
        <v>29</v>
      </c>
      <c r="T90" s="28"/>
    </row>
    <row r="91" spans="1:20" s="123" customFormat="1" x14ac:dyDescent="0.2">
      <c r="A91" s="28"/>
      <c r="B91" s="127" t="s">
        <v>402</v>
      </c>
      <c r="C91" s="109">
        <f>IFERROR(VLOOKUP($B91,MMWR_TRAD_AGG_STATE_PEN[],C$1,0),"ERROR")</f>
        <v>374</v>
      </c>
      <c r="D91" s="110">
        <f>IFERROR(VLOOKUP($B91,MMWR_TRAD_AGG_STATE_PEN[],D$1,0),"ERROR")</f>
        <v>53.366310160399998</v>
      </c>
      <c r="E91" s="111">
        <f>IFERROR(VLOOKUP($B91,MMWR_TRAD_AGG_STATE_PEN[],E$1,0),"ERROR")</f>
        <v>1123</v>
      </c>
      <c r="F91" s="112">
        <f>IFERROR(VLOOKUP($B91,MMWR_TRAD_AGG_STATE_PEN[],F$1,0),"ERROR")</f>
        <v>101</v>
      </c>
      <c r="G91" s="113">
        <f t="shared" si="8"/>
        <v>8.9937666963490648E-2</v>
      </c>
      <c r="H91" s="111">
        <f>IFERROR(VLOOKUP($B91,MMWR_TRAD_AGG_STATE_PEN[],H$1,0),"ERROR")</f>
        <v>614</v>
      </c>
      <c r="I91" s="112">
        <f>IFERROR(VLOOKUP($B91,MMWR_TRAD_AGG_STATE_PEN[],I$1,0),"ERROR")</f>
        <v>35</v>
      </c>
      <c r="J91" s="114">
        <f t="shared" si="9"/>
        <v>5.7003257328990226E-2</v>
      </c>
      <c r="K91" s="111">
        <f>IFERROR(VLOOKUP($B91,MMWR_TRAD_AGG_STATE_PEN[],K$1,0),"ERROR")</f>
        <v>1</v>
      </c>
      <c r="L91" s="112">
        <f>IFERROR(VLOOKUP($B91,MMWR_TRAD_AGG_STATE_PEN[],L$1,0),"ERROR")</f>
        <v>1</v>
      </c>
      <c r="M91" s="114">
        <f t="shared" si="10"/>
        <v>1</v>
      </c>
      <c r="N91" s="111">
        <f>IFERROR(VLOOKUP($B91,MMWR_TRAD_AGG_STATE_PEN[],N$1,0),"ERROR")</f>
        <v>52</v>
      </c>
      <c r="O91" s="112">
        <f>IFERROR(VLOOKUP($B91,MMWR_TRAD_AGG_STATE_PEN[],O$1,0),"ERROR")</f>
        <v>6</v>
      </c>
      <c r="P91" s="114">
        <f t="shared" si="11"/>
        <v>0.11538461538461539</v>
      </c>
      <c r="Q91" s="115">
        <f>IFERROR(VLOOKUP($B91,MMWR_TRAD_AGG_STATE_PEN[],Q$1,0),"ERROR")</f>
        <v>104</v>
      </c>
      <c r="R91" s="115">
        <f>IFERROR(VLOOKUP($B91,MMWR_TRAD_AGG_STATE_PEN[],R$1,0),"ERROR")</f>
        <v>77</v>
      </c>
      <c r="S91" s="115">
        <f>IFERROR(VLOOKUP($B91,MMWR_APP_STATE_PEN[],S$1,0),"ERROR")</f>
        <v>271</v>
      </c>
      <c r="T91" s="28"/>
    </row>
    <row r="92" spans="1:20" s="123" customFormat="1" x14ac:dyDescent="0.2">
      <c r="A92" s="28"/>
      <c r="B92" s="127" t="s">
        <v>408</v>
      </c>
      <c r="C92" s="109">
        <f>IFERROR(VLOOKUP($B92,MMWR_TRAD_AGG_STATE_PEN[],C$1,0),"ERROR")</f>
        <v>106</v>
      </c>
      <c r="D92" s="110">
        <f>IFERROR(VLOOKUP($B92,MMWR_TRAD_AGG_STATE_PEN[],D$1,0),"ERROR")</f>
        <v>39.886792452800002</v>
      </c>
      <c r="E92" s="111">
        <f>IFERROR(VLOOKUP($B92,MMWR_TRAD_AGG_STATE_PEN[],E$1,0),"ERROR")</f>
        <v>334</v>
      </c>
      <c r="F92" s="112">
        <f>IFERROR(VLOOKUP($B92,MMWR_TRAD_AGG_STATE_PEN[],F$1,0),"ERROR")</f>
        <v>12</v>
      </c>
      <c r="G92" s="113">
        <f t="shared" si="8"/>
        <v>3.5928143712574849E-2</v>
      </c>
      <c r="H92" s="111">
        <f>IFERROR(VLOOKUP($B92,MMWR_TRAD_AGG_STATE_PEN[],H$1,0),"ERROR")</f>
        <v>158</v>
      </c>
      <c r="I92" s="112">
        <f>IFERROR(VLOOKUP($B92,MMWR_TRAD_AGG_STATE_PEN[],I$1,0),"ERROR")</f>
        <v>5</v>
      </c>
      <c r="J92" s="114">
        <f t="shared" si="9"/>
        <v>3.1645569620253167E-2</v>
      </c>
      <c r="K92" s="111">
        <f>IFERROR(VLOOKUP($B92,MMWR_TRAD_AGG_STATE_PEN[],K$1,0),"ERROR")</f>
        <v>1</v>
      </c>
      <c r="L92" s="112">
        <f>IFERROR(VLOOKUP($B92,MMWR_TRAD_AGG_STATE_PEN[],L$1,0),"ERROR")</f>
        <v>1</v>
      </c>
      <c r="M92" s="114">
        <f t="shared" si="10"/>
        <v>1</v>
      </c>
      <c r="N92" s="111">
        <f>IFERROR(VLOOKUP($B92,MMWR_TRAD_AGG_STATE_PEN[],N$1,0),"ERROR")</f>
        <v>8</v>
      </c>
      <c r="O92" s="112">
        <f>IFERROR(VLOOKUP($B92,MMWR_TRAD_AGG_STATE_PEN[],O$1,0),"ERROR")</f>
        <v>3</v>
      </c>
      <c r="P92" s="114">
        <f t="shared" si="11"/>
        <v>0.375</v>
      </c>
      <c r="Q92" s="115">
        <f>IFERROR(VLOOKUP($B92,MMWR_TRAD_AGG_STATE_PEN[],Q$1,0),"ERROR")</f>
        <v>506</v>
      </c>
      <c r="R92" s="115">
        <f>IFERROR(VLOOKUP($B92,MMWR_TRAD_AGG_STATE_PEN[],R$1,0),"ERROR")</f>
        <v>22</v>
      </c>
      <c r="S92" s="115">
        <f>IFERROR(VLOOKUP($B92,MMWR_APP_STATE_PEN[],S$1,0),"ERROR")</f>
        <v>26</v>
      </c>
      <c r="T92" s="28"/>
    </row>
    <row r="93" spans="1:20" s="123" customFormat="1" x14ac:dyDescent="0.2">
      <c r="A93" s="28"/>
      <c r="B93" s="127" t="s">
        <v>404</v>
      </c>
      <c r="C93" s="109">
        <f>IFERROR(VLOOKUP($B93,MMWR_TRAD_AGG_STATE_PEN[],C$1,0),"ERROR")</f>
        <v>272</v>
      </c>
      <c r="D93" s="110">
        <f>IFERROR(VLOOKUP($B93,MMWR_TRAD_AGG_STATE_PEN[],D$1,0),"ERROR")</f>
        <v>61.286764705899998</v>
      </c>
      <c r="E93" s="111">
        <f>IFERROR(VLOOKUP($B93,MMWR_TRAD_AGG_STATE_PEN[],E$1,0),"ERROR")</f>
        <v>716</v>
      </c>
      <c r="F93" s="112">
        <f>IFERROR(VLOOKUP($B93,MMWR_TRAD_AGG_STATE_PEN[],F$1,0),"ERROR")</f>
        <v>52</v>
      </c>
      <c r="G93" s="113">
        <f t="shared" si="8"/>
        <v>7.2625698324022353E-2</v>
      </c>
      <c r="H93" s="111">
        <f>IFERROR(VLOOKUP($B93,MMWR_TRAD_AGG_STATE_PEN[],H$1,0),"ERROR")</f>
        <v>478</v>
      </c>
      <c r="I93" s="112">
        <f>IFERROR(VLOOKUP($B93,MMWR_TRAD_AGG_STATE_PEN[],I$1,0),"ERROR")</f>
        <v>33</v>
      </c>
      <c r="J93" s="114">
        <f t="shared" si="9"/>
        <v>6.903765690376569E-2</v>
      </c>
      <c r="K93" s="111">
        <f>IFERROR(VLOOKUP($B93,MMWR_TRAD_AGG_STATE_PEN[],K$1,0),"ERROR")</f>
        <v>1</v>
      </c>
      <c r="L93" s="112">
        <f>IFERROR(VLOOKUP($B93,MMWR_TRAD_AGG_STATE_PEN[],L$1,0),"ERROR")</f>
        <v>1</v>
      </c>
      <c r="M93" s="114">
        <f t="shared" si="10"/>
        <v>1</v>
      </c>
      <c r="N93" s="111">
        <f>IFERROR(VLOOKUP($B93,MMWR_TRAD_AGG_STATE_PEN[],N$1,0),"ERROR")</f>
        <v>36</v>
      </c>
      <c r="O93" s="112">
        <f>IFERROR(VLOOKUP($B93,MMWR_TRAD_AGG_STATE_PEN[],O$1,0),"ERROR")</f>
        <v>11</v>
      </c>
      <c r="P93" s="114">
        <f t="shared" si="11"/>
        <v>0.30555555555555558</v>
      </c>
      <c r="Q93" s="115">
        <f>IFERROR(VLOOKUP($B93,MMWR_TRAD_AGG_STATE_PEN[],Q$1,0),"ERROR")</f>
        <v>94</v>
      </c>
      <c r="R93" s="115">
        <f>IFERROR(VLOOKUP($B93,MMWR_TRAD_AGG_STATE_PEN[],R$1,0),"ERROR")</f>
        <v>42</v>
      </c>
      <c r="S93" s="115">
        <f>IFERROR(VLOOKUP($B93,MMWR_APP_STATE_PEN[],S$1,0),"ERROR")</f>
        <v>221</v>
      </c>
      <c r="T93" s="28"/>
    </row>
    <row r="94" spans="1:20" s="123" customFormat="1" x14ac:dyDescent="0.2">
      <c r="A94" s="28"/>
      <c r="B94" s="127" t="s">
        <v>407</v>
      </c>
      <c r="C94" s="109">
        <f>IFERROR(VLOOKUP($B94,MMWR_TRAD_AGG_STATE_PEN[],C$1,0),"ERROR")</f>
        <v>26</v>
      </c>
      <c r="D94" s="110">
        <f>IFERROR(VLOOKUP($B94,MMWR_TRAD_AGG_STATE_PEN[],D$1,0),"ERROR")</f>
        <v>50.884615384600004</v>
      </c>
      <c r="E94" s="111">
        <f>IFERROR(VLOOKUP($B94,MMWR_TRAD_AGG_STATE_PEN[],E$1,0),"ERROR")</f>
        <v>75</v>
      </c>
      <c r="F94" s="112">
        <f>IFERROR(VLOOKUP($B94,MMWR_TRAD_AGG_STATE_PEN[],F$1,0),"ERROR")</f>
        <v>4</v>
      </c>
      <c r="G94" s="113">
        <f t="shared" si="8"/>
        <v>5.3333333333333337E-2</v>
      </c>
      <c r="H94" s="111">
        <f>IFERROR(VLOOKUP($B94,MMWR_TRAD_AGG_STATE_PEN[],H$1,0),"ERROR")</f>
        <v>53</v>
      </c>
      <c r="I94" s="112">
        <f>IFERROR(VLOOKUP($B94,MMWR_TRAD_AGG_STATE_PEN[],I$1,0),"ERROR")</f>
        <v>2</v>
      </c>
      <c r="J94" s="114">
        <f t="shared" si="9"/>
        <v>3.7735849056603772E-2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1</v>
      </c>
      <c r="P94" s="114">
        <f t="shared" si="11"/>
        <v>0.5</v>
      </c>
      <c r="Q94" s="115">
        <f>IFERROR(VLOOKUP($B94,MMWR_TRAD_AGG_STATE_PEN[],Q$1,0),"ERROR")</f>
        <v>181</v>
      </c>
      <c r="R94" s="115">
        <f>IFERROR(VLOOKUP($B94,MMWR_TRAD_AGG_STATE_PEN[],R$1,0),"ERROR")</f>
        <v>8</v>
      </c>
      <c r="S94" s="115">
        <f>IFERROR(VLOOKUP($B94,MMWR_APP_STATE_PEN[],S$1,0),"ERROR")</f>
        <v>23</v>
      </c>
      <c r="T94" s="28"/>
    </row>
    <row r="95" spans="1:20" s="123" customFormat="1" x14ac:dyDescent="0.2">
      <c r="A95" s="28"/>
      <c r="B95" s="127" t="s">
        <v>426</v>
      </c>
      <c r="C95" s="109">
        <f>IFERROR(VLOOKUP($B95,MMWR_TRAD_AGG_STATE_PEN[],C$1,0),"ERROR")</f>
        <v>8</v>
      </c>
      <c r="D95" s="110">
        <f>IFERROR(VLOOKUP($B95,MMWR_TRAD_AGG_STATE_PEN[],D$1,0),"ERROR")</f>
        <v>54.375</v>
      </c>
      <c r="E95" s="111">
        <f>IFERROR(VLOOKUP($B95,MMWR_TRAD_AGG_STATE_PEN[],E$1,0),"ERROR")</f>
        <v>51</v>
      </c>
      <c r="F95" s="112">
        <f>IFERROR(VLOOKUP($B95,MMWR_TRAD_AGG_STATE_PEN[],F$1,0),"ERROR")</f>
        <v>3</v>
      </c>
      <c r="G95" s="113">
        <f t="shared" si="8"/>
        <v>5.8823529411764705E-2</v>
      </c>
      <c r="H95" s="111">
        <f>IFERROR(VLOOKUP($B95,MMWR_TRAD_AGG_STATE_PEN[],H$1,0),"ERROR")</f>
        <v>16</v>
      </c>
      <c r="I95" s="112">
        <f>IFERROR(VLOOKUP($B95,MMWR_TRAD_AGG_STATE_PEN[],I$1,0),"ERROR")</f>
        <v>1</v>
      </c>
      <c r="J95" s="114">
        <f t="shared" si="9"/>
        <v>6.25E-2</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56</v>
      </c>
      <c r="R95" s="115">
        <f>IFERROR(VLOOKUP($B95,MMWR_TRAD_AGG_STATE_PEN[],R$1,0),"ERROR")</f>
        <v>3</v>
      </c>
      <c r="S95" s="115">
        <f>IFERROR(VLOOKUP($B95,MMWR_APP_STATE_PEN[],S$1,0),"ERROR")</f>
        <v>7</v>
      </c>
      <c r="T95" s="28"/>
    </row>
    <row r="96" spans="1:20" s="123" customFormat="1" x14ac:dyDescent="0.2">
      <c r="A96" s="28"/>
      <c r="B96" s="127" t="s">
        <v>398</v>
      </c>
      <c r="C96" s="109">
        <f>IFERROR(VLOOKUP($B96,MMWR_TRAD_AGG_STATE_PEN[],C$1,0),"ERROR")</f>
        <v>423</v>
      </c>
      <c r="D96" s="110">
        <f>IFERROR(VLOOKUP($B96,MMWR_TRAD_AGG_STATE_PEN[],D$1,0),"ERROR")</f>
        <v>59.520094562600001</v>
      </c>
      <c r="E96" s="111">
        <f>IFERROR(VLOOKUP($B96,MMWR_TRAD_AGG_STATE_PEN[],E$1,0),"ERROR")</f>
        <v>1298</v>
      </c>
      <c r="F96" s="112">
        <f>IFERROR(VLOOKUP($B96,MMWR_TRAD_AGG_STATE_PEN[],F$1,0),"ERROR")</f>
        <v>111</v>
      </c>
      <c r="G96" s="113">
        <f t="shared" si="8"/>
        <v>8.551617873651772E-2</v>
      </c>
      <c r="H96" s="111">
        <f>IFERROR(VLOOKUP($B96,MMWR_TRAD_AGG_STATE_PEN[],H$1,0),"ERROR")</f>
        <v>739</v>
      </c>
      <c r="I96" s="112">
        <f>IFERROR(VLOOKUP($B96,MMWR_TRAD_AGG_STATE_PEN[],I$1,0),"ERROR")</f>
        <v>50</v>
      </c>
      <c r="J96" s="114">
        <f t="shared" si="9"/>
        <v>6.7658998646820026E-2</v>
      </c>
      <c r="K96" s="111">
        <f>IFERROR(VLOOKUP($B96,MMWR_TRAD_AGG_STATE_PEN[],K$1,0),"ERROR")</f>
        <v>8</v>
      </c>
      <c r="L96" s="112">
        <f>IFERROR(VLOOKUP($B96,MMWR_TRAD_AGG_STATE_PEN[],L$1,0),"ERROR")</f>
        <v>3</v>
      </c>
      <c r="M96" s="114">
        <f t="shared" si="10"/>
        <v>0.375</v>
      </c>
      <c r="N96" s="111">
        <f>IFERROR(VLOOKUP($B96,MMWR_TRAD_AGG_STATE_PEN[],N$1,0),"ERROR")</f>
        <v>49</v>
      </c>
      <c r="O96" s="112">
        <f>IFERROR(VLOOKUP($B96,MMWR_TRAD_AGG_STATE_PEN[],O$1,0),"ERROR")</f>
        <v>9</v>
      </c>
      <c r="P96" s="114">
        <f t="shared" si="11"/>
        <v>0.18367346938775511</v>
      </c>
      <c r="Q96" s="115">
        <f>IFERROR(VLOOKUP($B96,MMWR_TRAD_AGG_STATE_PEN[],Q$1,0),"ERROR")</f>
        <v>124</v>
      </c>
      <c r="R96" s="115">
        <f>IFERROR(VLOOKUP($B96,MMWR_TRAD_AGG_STATE_PEN[],R$1,0),"ERROR")</f>
        <v>111</v>
      </c>
      <c r="S96" s="115">
        <f>IFERROR(VLOOKUP($B96,MMWR_APP_STATE_PEN[],S$1,0),"ERROR")</f>
        <v>410</v>
      </c>
      <c r="T96" s="28"/>
    </row>
    <row r="97" spans="1:20" s="123" customFormat="1" x14ac:dyDescent="0.2">
      <c r="A97" s="28"/>
      <c r="B97" s="127" t="s">
        <v>427</v>
      </c>
      <c r="C97" s="109">
        <f>IFERROR(VLOOKUP($B97,MMWR_TRAD_AGG_STATE_PEN[],C$1,0),"ERROR")</f>
        <v>27</v>
      </c>
      <c r="D97" s="110">
        <f>IFERROR(VLOOKUP($B97,MMWR_TRAD_AGG_STATE_PEN[],D$1,0),"ERROR")</f>
        <v>46.370370370400003</v>
      </c>
      <c r="E97" s="111">
        <f>IFERROR(VLOOKUP($B97,MMWR_TRAD_AGG_STATE_PEN[],E$1,0),"ERROR")</f>
        <v>48</v>
      </c>
      <c r="F97" s="112">
        <f>IFERROR(VLOOKUP($B97,MMWR_TRAD_AGG_STATE_PEN[],F$1,0),"ERROR")</f>
        <v>0</v>
      </c>
      <c r="G97" s="113">
        <f t="shared" si="8"/>
        <v>0</v>
      </c>
      <c r="H97" s="111">
        <f>IFERROR(VLOOKUP($B97,MMWR_TRAD_AGG_STATE_PEN[],H$1,0),"ERROR")</f>
        <v>40</v>
      </c>
      <c r="I97" s="112">
        <f>IFERROR(VLOOKUP($B97,MMWR_TRAD_AGG_STATE_PEN[],I$1,0),"ERROR")</f>
        <v>1</v>
      </c>
      <c r="J97" s="114">
        <f t="shared" si="9"/>
        <v>2.5000000000000001E-2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0</v>
      </c>
      <c r="P97" s="114">
        <f t="shared" si="11"/>
        <v>0</v>
      </c>
      <c r="Q97" s="115">
        <f>IFERROR(VLOOKUP($B97,MMWR_TRAD_AGG_STATE_PEN[],Q$1,0),"ERROR")</f>
        <v>88</v>
      </c>
      <c r="R97" s="115">
        <f>IFERROR(VLOOKUP($B97,MMWR_TRAD_AGG_STATE_PEN[],R$1,0),"ERROR")</f>
        <v>3</v>
      </c>
      <c r="S97" s="115">
        <f>IFERROR(VLOOKUP($B97,MMWR_APP_STATE_PEN[],S$1,0),"ERROR")</f>
        <v>9</v>
      </c>
      <c r="T97" s="28"/>
    </row>
    <row r="98" spans="1:20" s="123" customFormat="1" x14ac:dyDescent="0.2">
      <c r="A98" s="28"/>
      <c r="B98" s="127" t="s">
        <v>403</v>
      </c>
      <c r="C98" s="109">
        <f>IFERROR(VLOOKUP($B98,MMWR_TRAD_AGG_STATE_PEN[],C$1,0),"ERROR")</f>
        <v>161</v>
      </c>
      <c r="D98" s="110">
        <f>IFERROR(VLOOKUP($B98,MMWR_TRAD_AGG_STATE_PEN[],D$1,0),"ERROR")</f>
        <v>50.913043478299997</v>
      </c>
      <c r="E98" s="111">
        <f>IFERROR(VLOOKUP($B98,MMWR_TRAD_AGG_STATE_PEN[],E$1,0),"ERROR")</f>
        <v>433</v>
      </c>
      <c r="F98" s="112">
        <f>IFERROR(VLOOKUP($B98,MMWR_TRAD_AGG_STATE_PEN[],F$1,0),"ERROR")</f>
        <v>24</v>
      </c>
      <c r="G98" s="113">
        <f t="shared" si="8"/>
        <v>5.5427251732101619E-2</v>
      </c>
      <c r="H98" s="111">
        <f>IFERROR(VLOOKUP($B98,MMWR_TRAD_AGG_STATE_PEN[],H$1,0),"ERROR")</f>
        <v>300</v>
      </c>
      <c r="I98" s="112">
        <f>IFERROR(VLOOKUP($B98,MMWR_TRAD_AGG_STATE_PEN[],I$1,0),"ERROR")</f>
        <v>9</v>
      </c>
      <c r="J98" s="114">
        <f t="shared" si="9"/>
        <v>0.03</v>
      </c>
      <c r="K98" s="111">
        <f>IFERROR(VLOOKUP($B98,MMWR_TRAD_AGG_STATE_PEN[],K$1,0),"ERROR")</f>
        <v>1</v>
      </c>
      <c r="L98" s="112">
        <f>IFERROR(VLOOKUP($B98,MMWR_TRAD_AGG_STATE_PEN[],L$1,0),"ERROR")</f>
        <v>0</v>
      </c>
      <c r="M98" s="114">
        <f t="shared" si="10"/>
        <v>0</v>
      </c>
      <c r="N98" s="111">
        <f>IFERROR(VLOOKUP($B98,MMWR_TRAD_AGG_STATE_PEN[],N$1,0),"ERROR")</f>
        <v>23</v>
      </c>
      <c r="O98" s="112">
        <f>IFERROR(VLOOKUP($B98,MMWR_TRAD_AGG_STATE_PEN[],O$1,0),"ERROR")</f>
        <v>9</v>
      </c>
      <c r="P98" s="114">
        <f t="shared" si="11"/>
        <v>0.39130434782608697</v>
      </c>
      <c r="Q98" s="115">
        <f>IFERROR(VLOOKUP($B98,MMWR_TRAD_AGG_STATE_PEN[],Q$1,0),"ERROR")</f>
        <v>60</v>
      </c>
      <c r="R98" s="115">
        <f>IFERROR(VLOOKUP($B98,MMWR_TRAD_AGG_STATE_PEN[],R$1,0),"ERROR")</f>
        <v>33</v>
      </c>
      <c r="S98" s="115">
        <f>IFERROR(VLOOKUP($B98,MMWR_APP_STATE_PEN[],S$1,0),"ERROR")</f>
        <v>93</v>
      </c>
      <c r="T98" s="28"/>
    </row>
    <row r="99" spans="1:20" s="123" customFormat="1" x14ac:dyDescent="0.2">
      <c r="A99" s="28"/>
      <c r="B99" s="126" t="s">
        <v>392</v>
      </c>
      <c r="C99" s="102">
        <f>IFERROR(VLOOKUP($B99,MMWR_TRAD_AGG_ST_DISTRICT_PEN[],C$1,0),"ERROR")</f>
        <v>1340</v>
      </c>
      <c r="D99" s="103">
        <f>IFERROR(VLOOKUP($B99,MMWR_TRAD_AGG_ST_DISTRICT_PEN[],D$1,0),"ERROR")</f>
        <v>51.192537313400003</v>
      </c>
      <c r="E99" s="102">
        <f>IFERROR(VLOOKUP($B99,MMWR_TRAD_AGG_ST_DISTRICT_PEN[],E$1,0),"ERROR")</f>
        <v>3271</v>
      </c>
      <c r="F99" s="102">
        <f>IFERROR(VLOOKUP($B99,MMWR_TRAD_AGG_ST_DISTRICT_PEN[],F$1,0),"ERROR")</f>
        <v>146</v>
      </c>
      <c r="G99" s="104">
        <f t="shared" si="8"/>
        <v>4.4634668297156836E-2</v>
      </c>
      <c r="H99" s="102">
        <f>IFERROR(VLOOKUP($B99,MMWR_TRAD_AGG_ST_DISTRICT_PEN[],H$1,0),"ERROR")</f>
        <v>2242</v>
      </c>
      <c r="I99" s="102">
        <f>IFERROR(VLOOKUP($B99,MMWR_TRAD_AGG_ST_DISTRICT_PEN[],I$1,0),"ERROR")</f>
        <v>151</v>
      </c>
      <c r="J99" s="104">
        <f t="shared" si="9"/>
        <v>6.7350579839429076E-2</v>
      </c>
      <c r="K99" s="102">
        <f>IFERROR(VLOOKUP($B99,MMWR_TRAD_AGG_ST_DISTRICT_PEN[],K$1,0),"ERROR")</f>
        <v>23</v>
      </c>
      <c r="L99" s="102">
        <f>IFERROR(VLOOKUP($B99,MMWR_TRAD_AGG_ST_DISTRICT_PEN[],L$1,0),"ERROR")</f>
        <v>19</v>
      </c>
      <c r="M99" s="104">
        <f t="shared" si="10"/>
        <v>0.82608695652173914</v>
      </c>
      <c r="N99" s="102">
        <f>IFERROR(VLOOKUP($B99,MMWR_TRAD_AGG_ST_DISTRICT_PEN[],N$1,0),"ERROR")</f>
        <v>177</v>
      </c>
      <c r="O99" s="102">
        <f>IFERROR(VLOOKUP($B99,MMWR_TRAD_AGG_ST_DISTRICT_PEN[],O$1,0),"ERROR")</f>
        <v>56</v>
      </c>
      <c r="P99" s="104">
        <f t="shared" si="11"/>
        <v>0.31638418079096048</v>
      </c>
      <c r="Q99" s="102">
        <f>IFERROR(VLOOKUP($B99,MMWR_TRAD_AGG_ST_DISTRICT_PEN[],Q$1,0),"ERROR")</f>
        <v>2286</v>
      </c>
      <c r="R99" s="106">
        <f>IFERROR(VLOOKUP($B99,MMWR_TRAD_AGG_ST_DISTRICT_PEN[],R$1,0),"ERROR")</f>
        <v>410</v>
      </c>
      <c r="S99" s="106">
        <f>IFERROR(VLOOKUP($B99,MMWR_APP_STATE_PEN[],S$1,0),"ERROR")</f>
        <v>1584</v>
      </c>
      <c r="T99" s="28"/>
    </row>
    <row r="100" spans="1:20" s="123" customFormat="1" x14ac:dyDescent="0.2">
      <c r="A100" s="28"/>
      <c r="B100" s="127" t="s">
        <v>418</v>
      </c>
      <c r="C100" s="109">
        <f>IFERROR(VLOOKUP($B100,MMWR_TRAD_AGG_STATE_PEN[],C$1,0),"ERROR")</f>
        <v>127</v>
      </c>
      <c r="D100" s="110">
        <f>IFERROR(VLOOKUP($B100,MMWR_TRAD_AGG_STATE_PEN[],D$1,0),"ERROR")</f>
        <v>56.984251968499997</v>
      </c>
      <c r="E100" s="111">
        <f>IFERROR(VLOOKUP($B100,MMWR_TRAD_AGG_STATE_PEN[],E$1,0),"ERROR")</f>
        <v>299</v>
      </c>
      <c r="F100" s="112">
        <f>IFERROR(VLOOKUP($B100,MMWR_TRAD_AGG_STATE_PEN[],F$1,0),"ERROR")</f>
        <v>26</v>
      </c>
      <c r="G100" s="113">
        <f t="shared" si="8"/>
        <v>8.6956521739130432E-2</v>
      </c>
      <c r="H100" s="111">
        <f>IFERROR(VLOOKUP($B100,MMWR_TRAD_AGG_STATE_PEN[],H$1,0),"ERROR")</f>
        <v>228</v>
      </c>
      <c r="I100" s="112">
        <f>IFERROR(VLOOKUP($B100,MMWR_TRAD_AGG_STATE_PEN[],I$1,0),"ERROR")</f>
        <v>22</v>
      </c>
      <c r="J100" s="114">
        <f t="shared" si="9"/>
        <v>9.6491228070175433E-2</v>
      </c>
      <c r="K100" s="111">
        <f>IFERROR(VLOOKUP($B100,MMWR_TRAD_AGG_STATE_PEN[],K$1,0),"ERROR")</f>
        <v>5</v>
      </c>
      <c r="L100" s="112">
        <f>IFERROR(VLOOKUP($B100,MMWR_TRAD_AGG_STATE_PEN[],L$1,0),"ERROR")</f>
        <v>4</v>
      </c>
      <c r="M100" s="114">
        <f t="shared" si="10"/>
        <v>0.8</v>
      </c>
      <c r="N100" s="111">
        <f>IFERROR(VLOOKUP($B100,MMWR_TRAD_AGG_STATE_PEN[],N$1,0),"ERROR")</f>
        <v>24</v>
      </c>
      <c r="O100" s="112">
        <f>IFERROR(VLOOKUP($B100,MMWR_TRAD_AGG_STATE_PEN[],O$1,0),"ERROR")</f>
        <v>4</v>
      </c>
      <c r="P100" s="114">
        <f t="shared" si="11"/>
        <v>0.16666666666666666</v>
      </c>
      <c r="Q100" s="115">
        <f>IFERROR(VLOOKUP($B100,MMWR_TRAD_AGG_STATE_PEN[],Q$1,0),"ERROR")</f>
        <v>74</v>
      </c>
      <c r="R100" s="115">
        <f>IFERROR(VLOOKUP($B100,MMWR_TRAD_AGG_STATE_PEN[],R$1,0),"ERROR")</f>
        <v>31</v>
      </c>
      <c r="S100" s="115">
        <f>IFERROR(VLOOKUP($B100,MMWR_APP_STATE_PEN[],S$1,0),"ERROR")</f>
        <v>186</v>
      </c>
      <c r="T100" s="28"/>
    </row>
    <row r="101" spans="1:20" s="123" customFormat="1" x14ac:dyDescent="0.2">
      <c r="A101" s="28"/>
      <c r="B101" s="127" t="s">
        <v>410</v>
      </c>
      <c r="C101" s="109">
        <f>IFERROR(VLOOKUP($B101,MMWR_TRAD_AGG_STATE_PEN[],C$1,0),"ERROR")</f>
        <v>103</v>
      </c>
      <c r="D101" s="110">
        <f>IFERROR(VLOOKUP($B101,MMWR_TRAD_AGG_STATE_PEN[],D$1,0),"ERROR")</f>
        <v>41.7475728155</v>
      </c>
      <c r="E101" s="111">
        <f>IFERROR(VLOOKUP($B101,MMWR_TRAD_AGG_STATE_PEN[],E$1,0),"ERROR")</f>
        <v>220</v>
      </c>
      <c r="F101" s="112">
        <f>IFERROR(VLOOKUP($B101,MMWR_TRAD_AGG_STATE_PEN[],F$1,0),"ERROR")</f>
        <v>13</v>
      </c>
      <c r="G101" s="113">
        <f t="shared" ref="G101:G127" si="12">IFERROR(F101/E101,"0%")</f>
        <v>5.909090909090909E-2</v>
      </c>
      <c r="H101" s="111">
        <f>IFERROR(VLOOKUP($B101,MMWR_TRAD_AGG_STATE_PEN[],H$1,0),"ERROR")</f>
        <v>155</v>
      </c>
      <c r="I101" s="112">
        <f>IFERROR(VLOOKUP($B101,MMWR_TRAD_AGG_STATE_PEN[],I$1,0),"ERROR")</f>
        <v>9</v>
      </c>
      <c r="J101" s="114">
        <f t="shared" ref="J101:J127" si="13">IFERROR(I101/H101,"0%")</f>
        <v>5.8064516129032261E-2</v>
      </c>
      <c r="K101" s="111">
        <f>IFERROR(VLOOKUP($B101,MMWR_TRAD_AGG_STATE_PEN[],K$1,0),"ERROR")</f>
        <v>1</v>
      </c>
      <c r="L101" s="112">
        <f>IFERROR(VLOOKUP($B101,MMWR_TRAD_AGG_STATE_PEN[],L$1,0),"ERROR")</f>
        <v>1</v>
      </c>
      <c r="M101" s="114">
        <f t="shared" ref="M101:M127" si="14">IFERROR(L101/K101,"0%")</f>
        <v>1</v>
      </c>
      <c r="N101" s="111">
        <f>IFERROR(VLOOKUP($B101,MMWR_TRAD_AGG_STATE_PEN[],N$1,0),"ERROR")</f>
        <v>16</v>
      </c>
      <c r="O101" s="112">
        <f>IFERROR(VLOOKUP($B101,MMWR_TRAD_AGG_STATE_PEN[],O$1,0),"ERROR")</f>
        <v>9</v>
      </c>
      <c r="P101" s="114">
        <f t="shared" ref="P101:P127" si="15">IFERROR(O101/N101,"0%")</f>
        <v>0.5625</v>
      </c>
      <c r="Q101" s="115">
        <f>IFERROR(VLOOKUP($B101,MMWR_TRAD_AGG_STATE_PEN[],Q$1,0),"ERROR")</f>
        <v>249</v>
      </c>
      <c r="R101" s="115">
        <f>IFERROR(VLOOKUP($B101,MMWR_TRAD_AGG_STATE_PEN[],R$1,0),"ERROR")</f>
        <v>28</v>
      </c>
      <c r="S101" s="115">
        <f>IFERROR(VLOOKUP($B101,MMWR_APP_STATE_PEN[],S$1,0),"ERROR")</f>
        <v>111</v>
      </c>
      <c r="T101" s="28"/>
    </row>
    <row r="102" spans="1:20" s="123" customFormat="1" x14ac:dyDescent="0.2">
      <c r="A102" s="28"/>
      <c r="B102" s="127" t="s">
        <v>394</v>
      </c>
      <c r="C102" s="109">
        <f>IFERROR(VLOOKUP($B102,MMWR_TRAD_AGG_STATE_PEN[],C$1,0),"ERROR")</f>
        <v>238</v>
      </c>
      <c r="D102" s="110">
        <f>IFERROR(VLOOKUP($B102,MMWR_TRAD_AGG_STATE_PEN[],D$1,0),"ERROR")</f>
        <v>64.3655462185</v>
      </c>
      <c r="E102" s="111">
        <f>IFERROR(VLOOKUP($B102,MMWR_TRAD_AGG_STATE_PEN[],E$1,0),"ERROR")</f>
        <v>472</v>
      </c>
      <c r="F102" s="112">
        <f>IFERROR(VLOOKUP($B102,MMWR_TRAD_AGG_STATE_PEN[],F$1,0),"ERROR")</f>
        <v>26</v>
      </c>
      <c r="G102" s="113">
        <f t="shared" si="12"/>
        <v>5.5084745762711863E-2</v>
      </c>
      <c r="H102" s="111">
        <f>IFERROR(VLOOKUP($B102,MMWR_TRAD_AGG_STATE_PEN[],H$1,0),"ERROR")</f>
        <v>368</v>
      </c>
      <c r="I102" s="112">
        <f>IFERROR(VLOOKUP($B102,MMWR_TRAD_AGG_STATE_PEN[],I$1,0),"ERROR")</f>
        <v>28</v>
      </c>
      <c r="J102" s="114">
        <f t="shared" si="13"/>
        <v>7.6086956521739135E-2</v>
      </c>
      <c r="K102" s="111">
        <f>IFERROR(VLOOKUP($B102,MMWR_TRAD_AGG_STATE_PEN[],K$1,0),"ERROR")</f>
        <v>2</v>
      </c>
      <c r="L102" s="112">
        <f>IFERROR(VLOOKUP($B102,MMWR_TRAD_AGG_STATE_PEN[],L$1,0),"ERROR")</f>
        <v>1</v>
      </c>
      <c r="M102" s="114">
        <f t="shared" si="14"/>
        <v>0.5</v>
      </c>
      <c r="N102" s="111">
        <f>IFERROR(VLOOKUP($B102,MMWR_TRAD_AGG_STATE_PEN[],N$1,0),"ERROR")</f>
        <v>28</v>
      </c>
      <c r="O102" s="112">
        <f>IFERROR(VLOOKUP($B102,MMWR_TRAD_AGG_STATE_PEN[],O$1,0),"ERROR")</f>
        <v>3</v>
      </c>
      <c r="P102" s="114">
        <f t="shared" si="15"/>
        <v>0.10714285714285714</v>
      </c>
      <c r="Q102" s="115">
        <f>IFERROR(VLOOKUP($B102,MMWR_TRAD_AGG_STATE_PEN[],Q$1,0),"ERROR")</f>
        <v>76</v>
      </c>
      <c r="R102" s="115">
        <f>IFERROR(VLOOKUP($B102,MMWR_TRAD_AGG_STATE_PEN[],R$1,0),"ERROR")</f>
        <v>70</v>
      </c>
      <c r="S102" s="115">
        <f>IFERROR(VLOOKUP($B102,MMWR_APP_STATE_PEN[],S$1,0),"ERROR")</f>
        <v>200</v>
      </c>
      <c r="T102" s="28"/>
    </row>
    <row r="103" spans="1:20" s="123" customFormat="1" x14ac:dyDescent="0.2">
      <c r="A103" s="28"/>
      <c r="B103" s="127" t="s">
        <v>396</v>
      </c>
      <c r="C103" s="109">
        <f>IFERROR(VLOOKUP($B103,MMWR_TRAD_AGG_STATE_PEN[],C$1,0),"ERROR")</f>
        <v>144</v>
      </c>
      <c r="D103" s="110">
        <f>IFERROR(VLOOKUP($B103,MMWR_TRAD_AGG_STATE_PEN[],D$1,0),"ERROR")</f>
        <v>61.173611111100001</v>
      </c>
      <c r="E103" s="111">
        <f>IFERROR(VLOOKUP($B103,MMWR_TRAD_AGG_STATE_PEN[],E$1,0),"ERROR")</f>
        <v>322</v>
      </c>
      <c r="F103" s="112">
        <f>IFERROR(VLOOKUP($B103,MMWR_TRAD_AGG_STATE_PEN[],F$1,0),"ERROR")</f>
        <v>29</v>
      </c>
      <c r="G103" s="113">
        <f t="shared" si="12"/>
        <v>9.0062111801242239E-2</v>
      </c>
      <c r="H103" s="111">
        <f>IFERROR(VLOOKUP($B103,MMWR_TRAD_AGG_STATE_PEN[],H$1,0),"ERROR")</f>
        <v>234</v>
      </c>
      <c r="I103" s="112">
        <f>IFERROR(VLOOKUP($B103,MMWR_TRAD_AGG_STATE_PEN[],I$1,0),"ERROR")</f>
        <v>25</v>
      </c>
      <c r="J103" s="114">
        <f t="shared" si="13"/>
        <v>0.10683760683760683</v>
      </c>
      <c r="K103" s="111">
        <f>IFERROR(VLOOKUP($B103,MMWR_TRAD_AGG_STATE_PEN[],K$1,0),"ERROR")</f>
        <v>3</v>
      </c>
      <c r="L103" s="112">
        <f>IFERROR(VLOOKUP($B103,MMWR_TRAD_AGG_STATE_PEN[],L$1,0),"ERROR")</f>
        <v>3</v>
      </c>
      <c r="M103" s="114">
        <f t="shared" si="14"/>
        <v>1</v>
      </c>
      <c r="N103" s="111">
        <f>IFERROR(VLOOKUP($B103,MMWR_TRAD_AGG_STATE_PEN[],N$1,0),"ERROR")</f>
        <v>38</v>
      </c>
      <c r="O103" s="112">
        <f>IFERROR(VLOOKUP($B103,MMWR_TRAD_AGG_STATE_PEN[],O$1,0),"ERROR")</f>
        <v>3</v>
      </c>
      <c r="P103" s="114">
        <f t="shared" si="15"/>
        <v>7.8947368421052627E-2</v>
      </c>
      <c r="Q103" s="115">
        <f>IFERROR(VLOOKUP($B103,MMWR_TRAD_AGG_STATE_PEN[],Q$1,0),"ERROR")</f>
        <v>75</v>
      </c>
      <c r="R103" s="115">
        <f>IFERROR(VLOOKUP($B103,MMWR_TRAD_AGG_STATE_PEN[],R$1,0),"ERROR")</f>
        <v>26</v>
      </c>
      <c r="S103" s="115">
        <f>IFERROR(VLOOKUP($B103,MMWR_APP_STATE_PEN[],S$1,0),"ERROR")</f>
        <v>170</v>
      </c>
      <c r="T103" s="28"/>
    </row>
    <row r="104" spans="1:20" s="123" customFormat="1" x14ac:dyDescent="0.2">
      <c r="A104" s="28"/>
      <c r="B104" s="127" t="s">
        <v>425</v>
      </c>
      <c r="C104" s="109">
        <f>IFERROR(VLOOKUP($B104,MMWR_TRAD_AGG_STATE_PEN[],C$1,0),"ERROR")</f>
        <v>24</v>
      </c>
      <c r="D104" s="110">
        <f>IFERROR(VLOOKUP($B104,MMWR_TRAD_AGG_STATE_PEN[],D$1,0),"ERROR")</f>
        <v>38.666666666700003</v>
      </c>
      <c r="E104" s="111">
        <f>IFERROR(VLOOKUP($B104,MMWR_TRAD_AGG_STATE_PEN[],E$1,0),"ERROR")</f>
        <v>83</v>
      </c>
      <c r="F104" s="112">
        <f>IFERROR(VLOOKUP($B104,MMWR_TRAD_AGG_STATE_PEN[],F$1,0),"ERROR")</f>
        <v>3</v>
      </c>
      <c r="G104" s="113">
        <f t="shared" si="12"/>
        <v>3.614457831325301E-2</v>
      </c>
      <c r="H104" s="111">
        <f>IFERROR(VLOOKUP($B104,MMWR_TRAD_AGG_STATE_PEN[],H$1,0),"ERROR")</f>
        <v>43</v>
      </c>
      <c r="I104" s="112">
        <f>IFERROR(VLOOKUP($B104,MMWR_TRAD_AGG_STATE_PEN[],I$1,0),"ERROR")</f>
        <v>2</v>
      </c>
      <c r="J104" s="114">
        <f t="shared" si="13"/>
        <v>4.6511627906976744E-2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1</v>
      </c>
      <c r="P104" s="114">
        <f t="shared" si="15"/>
        <v>1</v>
      </c>
      <c r="Q104" s="115">
        <f>IFERROR(VLOOKUP($B104,MMWR_TRAD_AGG_STATE_PEN[],Q$1,0),"ERROR")</f>
        <v>80</v>
      </c>
      <c r="R104" s="115">
        <f>IFERROR(VLOOKUP($B104,MMWR_TRAD_AGG_STATE_PEN[],R$1,0),"ERROR")</f>
        <v>5</v>
      </c>
      <c r="S104" s="115">
        <f>IFERROR(VLOOKUP($B104,MMWR_APP_STATE_PEN[],S$1,0),"ERROR")</f>
        <v>7</v>
      </c>
      <c r="T104" s="28"/>
    </row>
    <row r="105" spans="1:20" s="123" customFormat="1" x14ac:dyDescent="0.2">
      <c r="A105" s="28"/>
      <c r="B105" s="127" t="s">
        <v>419</v>
      </c>
      <c r="C105" s="109">
        <f>IFERROR(VLOOKUP($B105,MMWR_TRAD_AGG_STATE_PEN[],C$1,0),"ERROR")</f>
        <v>115</v>
      </c>
      <c r="D105" s="110">
        <f>IFERROR(VLOOKUP($B105,MMWR_TRAD_AGG_STATE_PEN[],D$1,0),"ERROR")</f>
        <v>36.313043478300003</v>
      </c>
      <c r="E105" s="111">
        <f>IFERROR(VLOOKUP($B105,MMWR_TRAD_AGG_STATE_PEN[],E$1,0),"ERROR")</f>
        <v>275</v>
      </c>
      <c r="F105" s="112">
        <f>IFERROR(VLOOKUP($B105,MMWR_TRAD_AGG_STATE_PEN[],F$1,0),"ERROR")</f>
        <v>7</v>
      </c>
      <c r="G105" s="113">
        <f t="shared" si="12"/>
        <v>2.5454545454545455E-2</v>
      </c>
      <c r="H105" s="111">
        <f>IFERROR(VLOOKUP($B105,MMWR_TRAD_AGG_STATE_PEN[],H$1,0),"ERROR")</f>
        <v>170</v>
      </c>
      <c r="I105" s="112">
        <f>IFERROR(VLOOKUP($B105,MMWR_TRAD_AGG_STATE_PEN[],I$1,0),"ERROR")</f>
        <v>9</v>
      </c>
      <c r="J105" s="114">
        <f t="shared" si="13"/>
        <v>5.2941176470588235E-2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7</v>
      </c>
      <c r="P105" s="114">
        <f t="shared" si="15"/>
        <v>0.63636363636363635</v>
      </c>
      <c r="Q105" s="115">
        <f>IFERROR(VLOOKUP($B105,MMWR_TRAD_AGG_STATE_PEN[],Q$1,0),"ERROR")</f>
        <v>445</v>
      </c>
      <c r="R105" s="115">
        <f>IFERROR(VLOOKUP($B105,MMWR_TRAD_AGG_STATE_PEN[],R$1,0),"ERROR")</f>
        <v>35</v>
      </c>
      <c r="S105" s="115">
        <f>IFERROR(VLOOKUP($B105,MMWR_APP_STATE_PEN[],S$1,0),"ERROR")</f>
        <v>103</v>
      </c>
      <c r="T105" s="28"/>
    </row>
    <row r="106" spans="1:20" s="123" customFormat="1" x14ac:dyDescent="0.2">
      <c r="A106" s="28"/>
      <c r="B106" s="127" t="s">
        <v>417</v>
      </c>
      <c r="C106" s="109">
        <f>IFERROR(VLOOKUP($B106,MMWR_TRAD_AGG_STATE_PEN[],C$1,0),"ERROR")</f>
        <v>530</v>
      </c>
      <c r="D106" s="110">
        <f>IFERROR(VLOOKUP($B106,MMWR_TRAD_AGG_STATE_PEN[],D$1,0),"ERROR")</f>
        <v>48.118867924500002</v>
      </c>
      <c r="E106" s="111">
        <f>IFERROR(VLOOKUP($B106,MMWR_TRAD_AGG_STATE_PEN[],E$1,0),"ERROR")</f>
        <v>1406</v>
      </c>
      <c r="F106" s="112">
        <f>IFERROR(VLOOKUP($B106,MMWR_TRAD_AGG_STATE_PEN[],F$1,0),"ERROR")</f>
        <v>36</v>
      </c>
      <c r="G106" s="113">
        <f t="shared" si="12"/>
        <v>2.5604551920341393E-2</v>
      </c>
      <c r="H106" s="111">
        <f>IFERROR(VLOOKUP($B106,MMWR_TRAD_AGG_STATE_PEN[],H$1,0),"ERROR")</f>
        <v>958</v>
      </c>
      <c r="I106" s="112">
        <f>IFERROR(VLOOKUP($B106,MMWR_TRAD_AGG_STATE_PEN[],I$1,0),"ERROR")</f>
        <v>55</v>
      </c>
      <c r="J106" s="114">
        <f t="shared" si="13"/>
        <v>5.7411273486430062E-2</v>
      </c>
      <c r="K106" s="111">
        <f>IFERROR(VLOOKUP($B106,MMWR_TRAD_AGG_STATE_PEN[],K$1,0),"ERROR")</f>
        <v>10</v>
      </c>
      <c r="L106" s="112">
        <f>IFERROR(VLOOKUP($B106,MMWR_TRAD_AGG_STATE_PEN[],L$1,0),"ERROR")</f>
        <v>8</v>
      </c>
      <c r="M106" s="114">
        <f t="shared" si="14"/>
        <v>0.8</v>
      </c>
      <c r="N106" s="111">
        <f>IFERROR(VLOOKUP($B106,MMWR_TRAD_AGG_STATE_PEN[],N$1,0),"ERROR")</f>
        <v>54</v>
      </c>
      <c r="O106" s="112">
        <f>IFERROR(VLOOKUP($B106,MMWR_TRAD_AGG_STATE_PEN[],O$1,0),"ERROR")</f>
        <v>27</v>
      </c>
      <c r="P106" s="114">
        <f t="shared" si="15"/>
        <v>0.5</v>
      </c>
      <c r="Q106" s="115">
        <f>IFERROR(VLOOKUP($B106,MMWR_TRAD_AGG_STATE_PEN[],Q$1,0),"ERROR")</f>
        <v>1121</v>
      </c>
      <c r="R106" s="115">
        <f>IFERROR(VLOOKUP($B106,MMWR_TRAD_AGG_STATE_PEN[],R$1,0),"ERROR")</f>
        <v>199</v>
      </c>
      <c r="S106" s="115">
        <f>IFERROR(VLOOKUP($B106,MMWR_APP_STATE_PEN[],S$1,0),"ERROR")</f>
        <v>773</v>
      </c>
      <c r="T106" s="28"/>
    </row>
    <row r="107" spans="1:20" s="123" customFormat="1" x14ac:dyDescent="0.2">
      <c r="A107" s="28"/>
      <c r="B107" s="127" t="s">
        <v>413</v>
      </c>
      <c r="C107" s="109">
        <f>IFERROR(VLOOKUP($B107,MMWR_TRAD_AGG_STATE_PEN[],C$1,0),"ERROR")</f>
        <v>52</v>
      </c>
      <c r="D107" s="110">
        <f>IFERROR(VLOOKUP($B107,MMWR_TRAD_AGG_STATE_PEN[],D$1,0),"ERROR")</f>
        <v>37.673076923099998</v>
      </c>
      <c r="E107" s="111">
        <f>IFERROR(VLOOKUP($B107,MMWR_TRAD_AGG_STATE_PEN[],E$1,0),"ERROR")</f>
        <v>178</v>
      </c>
      <c r="F107" s="112">
        <f>IFERROR(VLOOKUP($B107,MMWR_TRAD_AGG_STATE_PEN[],F$1,0),"ERROR")</f>
        <v>6</v>
      </c>
      <c r="G107" s="113">
        <f t="shared" si="12"/>
        <v>3.3707865168539325E-2</v>
      </c>
      <c r="H107" s="111">
        <f>IFERROR(VLOOKUP($B107,MMWR_TRAD_AGG_STATE_PEN[],H$1,0),"ERROR")</f>
        <v>70</v>
      </c>
      <c r="I107" s="112">
        <f>IFERROR(VLOOKUP($B107,MMWR_TRAD_AGG_STATE_PEN[],I$1,0),"ERROR")</f>
        <v>0</v>
      </c>
      <c r="J107" s="114">
        <f t="shared" si="13"/>
        <v>0</v>
      </c>
      <c r="K107" s="111">
        <f>IFERROR(VLOOKUP($B107,MMWR_TRAD_AGG_STATE_PEN[],K$1,0),"ERROR")</f>
        <v>0</v>
      </c>
      <c r="L107" s="112">
        <f>IFERROR(VLOOKUP($B107,MMWR_TRAD_AGG_STATE_PEN[],L$1,0),"ERROR")</f>
        <v>0</v>
      </c>
      <c r="M107" s="114" t="str">
        <f t="shared" si="14"/>
        <v>0%</v>
      </c>
      <c r="N107" s="111">
        <f>IFERROR(VLOOKUP($B107,MMWR_TRAD_AGG_STATE_PEN[],N$1,0),"ERROR")</f>
        <v>5</v>
      </c>
      <c r="O107" s="112">
        <f>IFERROR(VLOOKUP($B107,MMWR_TRAD_AGG_STATE_PEN[],O$1,0),"ERROR")</f>
        <v>2</v>
      </c>
      <c r="P107" s="114">
        <f t="shared" si="15"/>
        <v>0.4</v>
      </c>
      <c r="Q107" s="115">
        <f>IFERROR(VLOOKUP($B107,MMWR_TRAD_AGG_STATE_PEN[],Q$1,0),"ERROR")</f>
        <v>111</v>
      </c>
      <c r="R107" s="115">
        <f>IFERROR(VLOOKUP($B107,MMWR_TRAD_AGG_STATE_PEN[],R$1,0),"ERROR")</f>
        <v>13</v>
      </c>
      <c r="S107" s="115">
        <f>IFERROR(VLOOKUP($B107,MMWR_APP_STATE_PEN[],S$1,0),"ERROR")</f>
        <v>26</v>
      </c>
      <c r="T107" s="28"/>
    </row>
    <row r="108" spans="1:20" s="123" customFormat="1" x14ac:dyDescent="0.2">
      <c r="A108" s="28"/>
      <c r="B108" s="127" t="s">
        <v>428</v>
      </c>
      <c r="C108" s="109">
        <f>IFERROR(VLOOKUP($B108,MMWR_TRAD_AGG_STATE_PEN[],C$1,0),"ERROR")</f>
        <v>7</v>
      </c>
      <c r="D108" s="110">
        <f>IFERROR(VLOOKUP($B108,MMWR_TRAD_AGG_STATE_PEN[],D$1,0),"ERROR")</f>
        <v>52.428571428600002</v>
      </c>
      <c r="E108" s="111">
        <f>IFERROR(VLOOKUP($B108,MMWR_TRAD_AGG_STATE_PEN[],E$1,0),"ERROR")</f>
        <v>16</v>
      </c>
      <c r="F108" s="112">
        <f>IFERROR(VLOOKUP($B108,MMWR_TRAD_AGG_STATE_PEN[],F$1,0),"ERROR")</f>
        <v>0</v>
      </c>
      <c r="G108" s="113">
        <f t="shared" si="12"/>
        <v>0</v>
      </c>
      <c r="H108" s="111">
        <f>IFERROR(VLOOKUP($B108,MMWR_TRAD_AGG_STATE_PEN[],H$1,0),"ERROR")</f>
        <v>16</v>
      </c>
      <c r="I108" s="112">
        <f>IFERROR(VLOOKUP($B108,MMWR_TRAD_AGG_STATE_PEN[],I$1,0),"ERROR")</f>
        <v>1</v>
      </c>
      <c r="J108" s="114">
        <f t="shared" si="13"/>
        <v>6.25E-2</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55</v>
      </c>
      <c r="R108" s="115">
        <f>IFERROR(VLOOKUP($B108,MMWR_TRAD_AGG_STATE_PEN[],R$1,0),"ERROR")</f>
        <v>3</v>
      </c>
      <c r="S108" s="115">
        <f>IFERROR(VLOOKUP($B108,MMWR_APP_STATE_PEN[],S$1,0),"ERROR")</f>
        <v>8</v>
      </c>
      <c r="T108" s="28"/>
    </row>
    <row r="109" spans="1:20" s="123" customFormat="1" x14ac:dyDescent="0.2">
      <c r="A109" s="28"/>
      <c r="B109" s="126" t="s">
        <v>411</v>
      </c>
      <c r="C109" s="102">
        <f>IFERROR(VLOOKUP($B109,MMWR_TRAD_AGG_ST_DISTRICT_PEN[],C$1,0),"ERROR")</f>
        <v>1128</v>
      </c>
      <c r="D109" s="103">
        <f>IFERROR(VLOOKUP($B109,MMWR_TRAD_AGG_ST_DISTRICT_PEN[],D$1,0),"ERROR")</f>
        <v>43.929078014200002</v>
      </c>
      <c r="E109" s="102">
        <f>IFERROR(VLOOKUP($B109,MMWR_TRAD_AGG_ST_DISTRICT_PEN[],E$1,0),"ERROR")</f>
        <v>3531</v>
      </c>
      <c r="F109" s="102">
        <f>IFERROR(VLOOKUP($B109,MMWR_TRAD_AGG_ST_DISTRICT_PEN[],F$1,0),"ERROR")</f>
        <v>137</v>
      </c>
      <c r="G109" s="104">
        <f t="shared" si="12"/>
        <v>3.8799207023506088E-2</v>
      </c>
      <c r="H109" s="102">
        <f>IFERROR(VLOOKUP($B109,MMWR_TRAD_AGG_ST_DISTRICT_PEN[],H$1,0),"ERROR")</f>
        <v>1836</v>
      </c>
      <c r="I109" s="102">
        <f>IFERROR(VLOOKUP($B109,MMWR_TRAD_AGG_ST_DISTRICT_PEN[],I$1,0),"ERROR")</f>
        <v>94</v>
      </c>
      <c r="J109" s="104">
        <f t="shared" si="13"/>
        <v>5.1198257080610023E-2</v>
      </c>
      <c r="K109" s="102">
        <f>IFERROR(VLOOKUP($B109,MMWR_TRAD_AGG_ST_DISTRICT_PEN[],K$1,0),"ERROR")</f>
        <v>17</v>
      </c>
      <c r="L109" s="102">
        <f>IFERROR(VLOOKUP($B109,MMWR_TRAD_AGG_ST_DISTRICT_PEN[],L$1,0),"ERROR")</f>
        <v>14</v>
      </c>
      <c r="M109" s="104">
        <f t="shared" si="14"/>
        <v>0.82352941176470584</v>
      </c>
      <c r="N109" s="102">
        <f>IFERROR(VLOOKUP($B109,MMWR_TRAD_AGG_ST_DISTRICT_PEN[],N$1,0),"ERROR")</f>
        <v>130</v>
      </c>
      <c r="O109" s="102">
        <f>IFERROR(VLOOKUP($B109,MMWR_TRAD_AGG_ST_DISTRICT_PEN[],O$1,0),"ERROR")</f>
        <v>44</v>
      </c>
      <c r="P109" s="104">
        <f t="shared" si="15"/>
        <v>0.33846153846153848</v>
      </c>
      <c r="Q109" s="102">
        <f>IFERROR(VLOOKUP($B109,MMWR_TRAD_AGG_ST_DISTRICT_PEN[],Q$1,0),"ERROR")</f>
        <v>2449</v>
      </c>
      <c r="R109" s="106">
        <f>IFERROR(VLOOKUP($B109,MMWR_TRAD_AGG_ST_DISTRICT_PEN[],R$1,0),"ERROR")</f>
        <v>402</v>
      </c>
      <c r="S109" s="106">
        <f>IFERROR(VLOOKUP($B109,MMWR_APP_STATE_PEN[],S$1,0),"ERROR")</f>
        <v>817</v>
      </c>
      <c r="T109" s="28"/>
    </row>
    <row r="110" spans="1:20" s="123" customFormat="1" x14ac:dyDescent="0.2">
      <c r="A110" s="28"/>
      <c r="B110" s="127" t="s">
        <v>431</v>
      </c>
      <c r="C110" s="109">
        <f>IFERROR(VLOOKUP($B110,MMWR_TRAD_AGG_STATE_PEN[],C$1,0),"ERROR")</f>
        <v>10</v>
      </c>
      <c r="D110" s="110">
        <f>IFERROR(VLOOKUP($B110,MMWR_TRAD_AGG_STATE_PEN[],D$1,0),"ERROR")</f>
        <v>55.9</v>
      </c>
      <c r="E110" s="111">
        <f>IFERROR(VLOOKUP($B110,MMWR_TRAD_AGG_STATE_PEN[],E$1,0),"ERROR")</f>
        <v>17</v>
      </c>
      <c r="F110" s="112">
        <f>IFERROR(VLOOKUP($B110,MMWR_TRAD_AGG_STATE_PEN[],F$1,0),"ERROR")</f>
        <v>0</v>
      </c>
      <c r="G110" s="113">
        <f t="shared" si="12"/>
        <v>0</v>
      </c>
      <c r="H110" s="111">
        <f>IFERROR(VLOOKUP($B110,MMWR_TRAD_AGG_STATE_PEN[],H$1,0),"ERROR")</f>
        <v>19</v>
      </c>
      <c r="I110" s="112">
        <f>IFERROR(VLOOKUP($B110,MMWR_TRAD_AGG_STATE_PEN[],I$1,0),"ERROR")</f>
        <v>1</v>
      </c>
      <c r="J110" s="114">
        <f t="shared" si="13"/>
        <v>5.2631578947368418E-2</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0</v>
      </c>
      <c r="P110" s="114">
        <f t="shared" si="15"/>
        <v>0</v>
      </c>
      <c r="Q110" s="115">
        <f>IFERROR(VLOOKUP($B110,MMWR_TRAD_AGG_STATE_PEN[],Q$1,0),"ERROR")</f>
        <v>31</v>
      </c>
      <c r="R110" s="115">
        <f>IFERROR(VLOOKUP($B110,MMWR_TRAD_AGG_STATE_PEN[],R$1,0),"ERROR")</f>
        <v>0</v>
      </c>
      <c r="S110" s="115">
        <f>IFERROR(VLOOKUP($B110,MMWR_APP_STATE_PEN[],S$1,0),"ERROR")</f>
        <v>3</v>
      </c>
      <c r="T110" s="28"/>
    </row>
    <row r="111" spans="1:20" s="123" customFormat="1" x14ac:dyDescent="0.2">
      <c r="A111" s="28"/>
      <c r="B111" s="127" t="s">
        <v>433</v>
      </c>
      <c r="C111" s="109">
        <f>IFERROR(VLOOKUP($B111,MMWR_TRAD_AGG_STATE_PEN[],C$1,0),"ERROR")</f>
        <v>124</v>
      </c>
      <c r="D111" s="110">
        <f>IFERROR(VLOOKUP($B111,MMWR_TRAD_AGG_STATE_PEN[],D$1,0),"ERROR")</f>
        <v>60.846774193500003</v>
      </c>
      <c r="E111" s="111">
        <f>IFERROR(VLOOKUP($B111,MMWR_TRAD_AGG_STATE_PEN[],E$1,0),"ERROR")</f>
        <v>466</v>
      </c>
      <c r="F111" s="112">
        <f>IFERROR(VLOOKUP($B111,MMWR_TRAD_AGG_STATE_PEN[],F$1,0),"ERROR")</f>
        <v>26</v>
      </c>
      <c r="G111" s="113">
        <f t="shared" si="12"/>
        <v>5.5793991416309016E-2</v>
      </c>
      <c r="H111" s="111">
        <f>IFERROR(VLOOKUP($B111,MMWR_TRAD_AGG_STATE_PEN[],H$1,0),"ERROR")</f>
        <v>211</v>
      </c>
      <c r="I111" s="112">
        <f>IFERROR(VLOOKUP($B111,MMWR_TRAD_AGG_STATE_PEN[],I$1,0),"ERROR")</f>
        <v>16</v>
      </c>
      <c r="J111" s="114">
        <f t="shared" si="13"/>
        <v>7.582938388625593E-2</v>
      </c>
      <c r="K111" s="111">
        <f>IFERROR(VLOOKUP($B111,MMWR_TRAD_AGG_STATE_PEN[],K$1,0),"ERROR")</f>
        <v>3</v>
      </c>
      <c r="L111" s="112">
        <f>IFERROR(VLOOKUP($B111,MMWR_TRAD_AGG_STATE_PEN[],L$1,0),"ERROR")</f>
        <v>3</v>
      </c>
      <c r="M111" s="114">
        <f t="shared" si="14"/>
        <v>1</v>
      </c>
      <c r="N111" s="111">
        <f>IFERROR(VLOOKUP($B111,MMWR_TRAD_AGG_STATE_PEN[],N$1,0),"ERROR")</f>
        <v>12</v>
      </c>
      <c r="O111" s="112">
        <f>IFERROR(VLOOKUP($B111,MMWR_TRAD_AGG_STATE_PEN[],O$1,0),"ERROR")</f>
        <v>2</v>
      </c>
      <c r="P111" s="114">
        <f t="shared" si="15"/>
        <v>0.16666666666666666</v>
      </c>
      <c r="Q111" s="115">
        <f>IFERROR(VLOOKUP($B111,MMWR_TRAD_AGG_STATE_PEN[],Q$1,0),"ERROR")</f>
        <v>305</v>
      </c>
      <c r="R111" s="115">
        <f>IFERROR(VLOOKUP($B111,MMWR_TRAD_AGG_STATE_PEN[],R$1,0),"ERROR")</f>
        <v>44</v>
      </c>
      <c r="S111" s="115">
        <f>IFERROR(VLOOKUP($B111,MMWR_APP_STATE_PEN[],S$1,0),"ERROR")</f>
        <v>144</v>
      </c>
      <c r="T111" s="28"/>
    </row>
    <row r="112" spans="1:20" s="123" customFormat="1" x14ac:dyDescent="0.2">
      <c r="A112" s="28"/>
      <c r="B112" s="127" t="s">
        <v>414</v>
      </c>
      <c r="C112" s="109">
        <f>IFERROR(VLOOKUP($B112,MMWR_TRAD_AGG_STATE_PEN[],C$1,0),"ERROR")</f>
        <v>615</v>
      </c>
      <c r="D112" s="110">
        <f>IFERROR(VLOOKUP($B112,MMWR_TRAD_AGG_STATE_PEN[],D$1,0),"ERROR")</f>
        <v>41.134959349600003</v>
      </c>
      <c r="E112" s="111">
        <f>IFERROR(VLOOKUP($B112,MMWR_TRAD_AGG_STATE_PEN[],E$1,0),"ERROR")</f>
        <v>1885</v>
      </c>
      <c r="F112" s="112">
        <f>IFERROR(VLOOKUP($B112,MMWR_TRAD_AGG_STATE_PEN[],F$1,0),"ERROR")</f>
        <v>72</v>
      </c>
      <c r="G112" s="113">
        <f t="shared" si="12"/>
        <v>3.8196286472148538E-2</v>
      </c>
      <c r="H112" s="111">
        <f>IFERROR(VLOOKUP($B112,MMWR_TRAD_AGG_STATE_PEN[],H$1,0),"ERROR")</f>
        <v>936</v>
      </c>
      <c r="I112" s="112">
        <f>IFERROR(VLOOKUP($B112,MMWR_TRAD_AGG_STATE_PEN[],I$1,0),"ERROR")</f>
        <v>32</v>
      </c>
      <c r="J112" s="114">
        <f t="shared" si="13"/>
        <v>3.4188034188034191E-2</v>
      </c>
      <c r="K112" s="111">
        <f>IFERROR(VLOOKUP($B112,MMWR_TRAD_AGG_STATE_PEN[],K$1,0),"ERROR")</f>
        <v>9</v>
      </c>
      <c r="L112" s="112">
        <f>IFERROR(VLOOKUP($B112,MMWR_TRAD_AGG_STATE_PEN[],L$1,0),"ERROR")</f>
        <v>7</v>
      </c>
      <c r="M112" s="114">
        <f t="shared" si="14"/>
        <v>0.77777777777777779</v>
      </c>
      <c r="N112" s="111">
        <f>IFERROR(VLOOKUP($B112,MMWR_TRAD_AGG_STATE_PEN[],N$1,0),"ERROR")</f>
        <v>69</v>
      </c>
      <c r="O112" s="112">
        <f>IFERROR(VLOOKUP($B112,MMWR_TRAD_AGG_STATE_PEN[],O$1,0),"ERROR")</f>
        <v>28</v>
      </c>
      <c r="P112" s="114">
        <f t="shared" si="15"/>
        <v>0.40579710144927539</v>
      </c>
      <c r="Q112" s="115">
        <f>IFERROR(VLOOKUP($B112,MMWR_TRAD_AGG_STATE_PEN[],Q$1,0),"ERROR")</f>
        <v>1054</v>
      </c>
      <c r="R112" s="115">
        <f>IFERROR(VLOOKUP($B112,MMWR_TRAD_AGG_STATE_PEN[],R$1,0),"ERROR")</f>
        <v>215</v>
      </c>
      <c r="S112" s="115">
        <f>IFERROR(VLOOKUP($B112,MMWR_APP_STATE_PEN[],S$1,0),"ERROR")</f>
        <v>433</v>
      </c>
      <c r="T112" s="28"/>
    </row>
    <row r="113" spans="1:20" s="123" customFormat="1" x14ac:dyDescent="0.2">
      <c r="A113" s="28"/>
      <c r="B113" s="127" t="s">
        <v>435</v>
      </c>
      <c r="C113" s="109">
        <f>IFERROR(VLOOKUP($B113,MMWR_TRAD_AGG_STATE_PEN[],C$1,0),"ERROR")</f>
        <v>17</v>
      </c>
      <c r="D113" s="110">
        <f>IFERROR(VLOOKUP($B113,MMWR_TRAD_AGG_STATE_PEN[],D$1,0),"ERROR")</f>
        <v>48.823529411800003</v>
      </c>
      <c r="E113" s="111">
        <f>IFERROR(VLOOKUP($B113,MMWR_TRAD_AGG_STATE_PEN[],E$1,0),"ERROR")</f>
        <v>39</v>
      </c>
      <c r="F113" s="112">
        <f>IFERROR(VLOOKUP($B113,MMWR_TRAD_AGG_STATE_PEN[],F$1,0),"ERROR")</f>
        <v>4</v>
      </c>
      <c r="G113" s="113">
        <f t="shared" si="12"/>
        <v>0.10256410256410256</v>
      </c>
      <c r="H113" s="111">
        <f>IFERROR(VLOOKUP($B113,MMWR_TRAD_AGG_STATE_PEN[],H$1,0),"ERROR")</f>
        <v>23</v>
      </c>
      <c r="I113" s="112">
        <f>IFERROR(VLOOKUP($B113,MMWR_TRAD_AGG_STATE_PEN[],I$1,0),"ERROR")</f>
        <v>2</v>
      </c>
      <c r="J113" s="114">
        <f t="shared" si="13"/>
        <v>8.6956521739130432E-2</v>
      </c>
      <c r="K113" s="111">
        <f>IFERROR(VLOOKUP($B113,MMWR_TRAD_AGG_STATE_PEN[],K$1,0),"ERROR")</f>
        <v>2</v>
      </c>
      <c r="L113" s="112">
        <f>IFERROR(VLOOKUP($B113,MMWR_TRAD_AGG_STATE_PEN[],L$1,0),"ERROR")</f>
        <v>2</v>
      </c>
      <c r="M113" s="114">
        <f t="shared" si="14"/>
        <v>1</v>
      </c>
      <c r="N113" s="111">
        <f>IFERROR(VLOOKUP($B113,MMWR_TRAD_AGG_STATE_PEN[],N$1,0),"ERROR")</f>
        <v>4</v>
      </c>
      <c r="O113" s="112">
        <f>IFERROR(VLOOKUP($B113,MMWR_TRAD_AGG_STATE_PEN[],O$1,0),"ERROR")</f>
        <v>1</v>
      </c>
      <c r="P113" s="114">
        <f t="shared" si="15"/>
        <v>0.25</v>
      </c>
      <c r="Q113" s="115">
        <f>IFERROR(VLOOKUP($B113,MMWR_TRAD_AGG_STATE_PEN[],Q$1,0),"ERROR")</f>
        <v>55</v>
      </c>
      <c r="R113" s="115">
        <f>IFERROR(VLOOKUP($B113,MMWR_TRAD_AGG_STATE_PEN[],R$1,0),"ERROR")</f>
        <v>6</v>
      </c>
      <c r="S113" s="115">
        <f>IFERROR(VLOOKUP($B113,MMWR_APP_STATE_PEN[],S$1,0),"ERROR")</f>
        <v>11</v>
      </c>
      <c r="T113" s="28"/>
    </row>
    <row r="114" spans="1:20" s="123" customFormat="1" x14ac:dyDescent="0.2">
      <c r="A114" s="28"/>
      <c r="B114" s="127" t="s">
        <v>415</v>
      </c>
      <c r="C114" s="109">
        <f>IFERROR(VLOOKUP($B114,MMWR_TRAD_AGG_STATE_PEN[],C$1,0),"ERROR")</f>
        <v>32</v>
      </c>
      <c r="D114" s="110">
        <f>IFERROR(VLOOKUP($B114,MMWR_TRAD_AGG_STATE_PEN[],D$1,0),"ERROR")</f>
        <v>35.46875</v>
      </c>
      <c r="E114" s="111">
        <f>IFERROR(VLOOKUP($B114,MMWR_TRAD_AGG_STATE_PEN[],E$1,0),"ERROR")</f>
        <v>119</v>
      </c>
      <c r="F114" s="112">
        <f>IFERROR(VLOOKUP($B114,MMWR_TRAD_AGG_STATE_PEN[],F$1,0),"ERROR")</f>
        <v>1</v>
      </c>
      <c r="G114" s="113">
        <f t="shared" si="12"/>
        <v>8.4033613445378148E-3</v>
      </c>
      <c r="H114" s="111">
        <f>IFERROR(VLOOKUP($B114,MMWR_TRAD_AGG_STATE_PEN[],H$1,0),"ERROR")</f>
        <v>58</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2</v>
      </c>
      <c r="O114" s="112">
        <f>IFERROR(VLOOKUP($B114,MMWR_TRAD_AGG_STATE_PEN[],O$1,0),"ERROR")</f>
        <v>0</v>
      </c>
      <c r="P114" s="114">
        <f t="shared" si="15"/>
        <v>0</v>
      </c>
      <c r="Q114" s="115">
        <f>IFERROR(VLOOKUP($B114,MMWR_TRAD_AGG_STATE_PEN[],Q$1,0),"ERROR")</f>
        <v>103</v>
      </c>
      <c r="R114" s="115">
        <f>IFERROR(VLOOKUP($B114,MMWR_TRAD_AGG_STATE_PEN[],R$1,0),"ERROR")</f>
        <v>10</v>
      </c>
      <c r="S114" s="115">
        <f>IFERROR(VLOOKUP($B114,MMWR_APP_STATE_PEN[],S$1,0),"ERROR")</f>
        <v>14</v>
      </c>
      <c r="T114" s="28"/>
    </row>
    <row r="115" spans="1:20" s="123" customFormat="1" x14ac:dyDescent="0.2">
      <c r="A115" s="28"/>
      <c r="B115" s="127" t="s">
        <v>420</v>
      </c>
      <c r="C115" s="109">
        <f>IFERROR(VLOOKUP($B115,MMWR_TRAD_AGG_STATE_PEN[],C$1,0),"ERROR")</f>
        <v>62</v>
      </c>
      <c r="D115" s="110">
        <f>IFERROR(VLOOKUP($B115,MMWR_TRAD_AGG_STATE_PEN[],D$1,0),"ERROR")</f>
        <v>49.790322580599998</v>
      </c>
      <c r="E115" s="111">
        <f>IFERROR(VLOOKUP($B115,MMWR_TRAD_AGG_STATE_PEN[],E$1,0),"ERROR")</f>
        <v>179</v>
      </c>
      <c r="F115" s="112">
        <f>IFERROR(VLOOKUP($B115,MMWR_TRAD_AGG_STATE_PEN[],F$1,0),"ERROR")</f>
        <v>3</v>
      </c>
      <c r="G115" s="113">
        <f t="shared" si="12"/>
        <v>1.6759776536312849E-2</v>
      </c>
      <c r="H115" s="111">
        <f>IFERROR(VLOOKUP($B115,MMWR_TRAD_AGG_STATE_PEN[],H$1,0),"ERROR")</f>
        <v>99</v>
      </c>
      <c r="I115" s="112">
        <f>IFERROR(VLOOKUP($B115,MMWR_TRAD_AGG_STATE_PEN[],I$1,0),"ERROR")</f>
        <v>9</v>
      </c>
      <c r="J115" s="114">
        <f t="shared" si="13"/>
        <v>9.0909090909090912E-2</v>
      </c>
      <c r="K115" s="111">
        <f>IFERROR(VLOOKUP($B115,MMWR_TRAD_AGG_STATE_PEN[],K$1,0),"ERROR")</f>
        <v>0</v>
      </c>
      <c r="L115" s="112">
        <f>IFERROR(VLOOKUP($B115,MMWR_TRAD_AGG_STATE_PEN[],L$1,0),"ERROR")</f>
        <v>0</v>
      </c>
      <c r="M115" s="114" t="str">
        <f t="shared" si="14"/>
        <v>0%</v>
      </c>
      <c r="N115" s="111">
        <f>IFERROR(VLOOKUP($B115,MMWR_TRAD_AGG_STATE_PEN[],N$1,0),"ERROR")</f>
        <v>11</v>
      </c>
      <c r="O115" s="112">
        <f>IFERROR(VLOOKUP($B115,MMWR_TRAD_AGG_STATE_PEN[],O$1,0),"ERROR")</f>
        <v>4</v>
      </c>
      <c r="P115" s="114">
        <f t="shared" si="15"/>
        <v>0.36363636363636365</v>
      </c>
      <c r="Q115" s="115">
        <f>IFERROR(VLOOKUP($B115,MMWR_TRAD_AGG_STATE_PEN[],Q$1,0),"ERROR")</f>
        <v>103</v>
      </c>
      <c r="R115" s="115">
        <f>IFERROR(VLOOKUP($B115,MMWR_TRAD_AGG_STATE_PEN[],R$1,0),"ERROR")</f>
        <v>23</v>
      </c>
      <c r="S115" s="115">
        <f>IFERROR(VLOOKUP($B115,MMWR_APP_STATE_PEN[],S$1,0),"ERROR")</f>
        <v>36</v>
      </c>
      <c r="T115" s="28"/>
    </row>
    <row r="116" spans="1:20" s="123" customFormat="1" x14ac:dyDescent="0.2">
      <c r="A116" s="28"/>
      <c r="B116" s="127" t="s">
        <v>412</v>
      </c>
      <c r="C116" s="109">
        <f>IFERROR(VLOOKUP($B116,MMWR_TRAD_AGG_STATE_PEN[],C$1,0),"ERROR")</f>
        <v>37</v>
      </c>
      <c r="D116" s="110">
        <f>IFERROR(VLOOKUP($B116,MMWR_TRAD_AGG_STATE_PEN[],D$1,0),"ERROR")</f>
        <v>40.594594594599997</v>
      </c>
      <c r="E116" s="111">
        <f>IFERROR(VLOOKUP($B116,MMWR_TRAD_AGG_STATE_PEN[],E$1,0),"ERROR")</f>
        <v>119</v>
      </c>
      <c r="F116" s="112">
        <f>IFERROR(VLOOKUP($B116,MMWR_TRAD_AGG_STATE_PEN[],F$1,0),"ERROR")</f>
        <v>4</v>
      </c>
      <c r="G116" s="113">
        <f t="shared" si="12"/>
        <v>3.3613445378151259E-2</v>
      </c>
      <c r="H116" s="111">
        <f>IFERROR(VLOOKUP($B116,MMWR_TRAD_AGG_STATE_PEN[],H$1,0),"ERROR")</f>
        <v>64</v>
      </c>
      <c r="I116" s="112">
        <f>IFERROR(VLOOKUP($B116,MMWR_TRAD_AGG_STATE_PEN[],I$1,0),"ERROR")</f>
        <v>2</v>
      </c>
      <c r="J116" s="114">
        <f t="shared" si="13"/>
        <v>3.125E-2</v>
      </c>
      <c r="K116" s="111">
        <f>IFERROR(VLOOKUP($B116,MMWR_TRAD_AGG_STATE_PEN[],K$1,0),"ERROR")</f>
        <v>0</v>
      </c>
      <c r="L116" s="112">
        <f>IFERROR(VLOOKUP($B116,MMWR_TRAD_AGG_STATE_PEN[],L$1,0),"ERROR")</f>
        <v>0</v>
      </c>
      <c r="M116" s="114" t="str">
        <f t="shared" si="14"/>
        <v>0%</v>
      </c>
      <c r="N116" s="111">
        <f>IFERROR(VLOOKUP($B116,MMWR_TRAD_AGG_STATE_PEN[],N$1,0),"ERROR")</f>
        <v>4</v>
      </c>
      <c r="O116" s="112">
        <f>IFERROR(VLOOKUP($B116,MMWR_TRAD_AGG_STATE_PEN[],O$1,0),"ERROR")</f>
        <v>1</v>
      </c>
      <c r="P116" s="114">
        <f t="shared" si="15"/>
        <v>0.25</v>
      </c>
      <c r="Q116" s="115">
        <f>IFERROR(VLOOKUP($B116,MMWR_TRAD_AGG_STATE_PEN[],Q$1,0),"ERROR")</f>
        <v>168</v>
      </c>
      <c r="R116" s="115">
        <f>IFERROR(VLOOKUP($B116,MMWR_TRAD_AGG_STATE_PEN[],R$1,0),"ERROR")</f>
        <v>17</v>
      </c>
      <c r="S116" s="115">
        <f>IFERROR(VLOOKUP($B116,MMWR_APP_STATE_PEN[],S$1,0),"ERROR")</f>
        <v>30</v>
      </c>
      <c r="T116" s="28"/>
    </row>
    <row r="117" spans="1:20" s="123" customFormat="1" x14ac:dyDescent="0.2">
      <c r="A117" s="28"/>
      <c r="B117" s="127" t="s">
        <v>416</v>
      </c>
      <c r="C117" s="109">
        <f>IFERROR(VLOOKUP($B117,MMWR_TRAD_AGG_STATE_PEN[],C$1,0),"ERROR")</f>
        <v>96</v>
      </c>
      <c r="D117" s="110">
        <f>IFERROR(VLOOKUP($B117,MMWR_TRAD_AGG_STATE_PEN[],D$1,0),"ERROR")</f>
        <v>42.947916666700003</v>
      </c>
      <c r="E117" s="111">
        <f>IFERROR(VLOOKUP($B117,MMWR_TRAD_AGG_STATE_PEN[],E$1,0),"ERROR")</f>
        <v>257</v>
      </c>
      <c r="F117" s="112">
        <f>IFERROR(VLOOKUP($B117,MMWR_TRAD_AGG_STATE_PEN[],F$1,0),"ERROR")</f>
        <v>12</v>
      </c>
      <c r="G117" s="113">
        <f t="shared" si="12"/>
        <v>4.6692607003891051E-2</v>
      </c>
      <c r="H117" s="111">
        <f>IFERROR(VLOOKUP($B117,MMWR_TRAD_AGG_STATE_PEN[],H$1,0),"ERROR")</f>
        <v>152</v>
      </c>
      <c r="I117" s="112">
        <f>IFERROR(VLOOKUP($B117,MMWR_TRAD_AGG_STATE_PEN[],I$1,0),"ERROR")</f>
        <v>8</v>
      </c>
      <c r="J117" s="114">
        <f t="shared" si="13"/>
        <v>5.2631578947368418E-2</v>
      </c>
      <c r="K117" s="111">
        <f>IFERROR(VLOOKUP($B117,MMWR_TRAD_AGG_STATE_PEN[],K$1,0),"ERROR")</f>
        <v>1</v>
      </c>
      <c r="L117" s="112">
        <f>IFERROR(VLOOKUP($B117,MMWR_TRAD_AGG_STATE_PEN[],L$1,0),"ERROR")</f>
        <v>1</v>
      </c>
      <c r="M117" s="114">
        <f t="shared" si="14"/>
        <v>1</v>
      </c>
      <c r="N117" s="111">
        <f>IFERROR(VLOOKUP($B117,MMWR_TRAD_AGG_STATE_PEN[],N$1,0),"ERROR")</f>
        <v>10</v>
      </c>
      <c r="O117" s="112">
        <f>IFERROR(VLOOKUP($B117,MMWR_TRAD_AGG_STATE_PEN[],O$1,0),"ERROR")</f>
        <v>4</v>
      </c>
      <c r="P117" s="114">
        <f t="shared" si="15"/>
        <v>0.4</v>
      </c>
      <c r="Q117" s="115">
        <f>IFERROR(VLOOKUP($B117,MMWR_TRAD_AGG_STATE_PEN[],Q$1,0),"ERROR")</f>
        <v>269</v>
      </c>
      <c r="R117" s="115">
        <f>IFERROR(VLOOKUP($B117,MMWR_TRAD_AGG_STATE_PEN[],R$1,0),"ERROR")</f>
        <v>38</v>
      </c>
      <c r="S117" s="115">
        <f>IFERROR(VLOOKUP($B117,MMWR_APP_STATE_PEN[],S$1,0),"ERROR")</f>
        <v>58</v>
      </c>
      <c r="T117" s="28"/>
    </row>
    <row r="118" spans="1:20" s="123" customFormat="1" x14ac:dyDescent="0.2">
      <c r="A118" s="28"/>
      <c r="B118" s="127" t="s">
        <v>83</v>
      </c>
      <c r="C118" s="109">
        <f>IFERROR(VLOOKUP($B118,MMWR_TRAD_AGG_STATE_PEN[],C$1,0),"ERROR")</f>
        <v>135</v>
      </c>
      <c r="D118" s="110">
        <f>IFERROR(VLOOKUP($B118,MMWR_TRAD_AGG_STATE_PEN[],D$1,0),"ERROR")</f>
        <v>40.540740740700002</v>
      </c>
      <c r="E118" s="111">
        <f>IFERROR(VLOOKUP($B118,MMWR_TRAD_AGG_STATE_PEN[],E$1,0),"ERROR")</f>
        <v>450</v>
      </c>
      <c r="F118" s="112">
        <f>IFERROR(VLOOKUP($B118,MMWR_TRAD_AGG_STATE_PEN[],F$1,0),"ERROR")</f>
        <v>15</v>
      </c>
      <c r="G118" s="113">
        <f t="shared" si="12"/>
        <v>3.3333333333333333E-2</v>
      </c>
      <c r="H118" s="111">
        <f>IFERROR(VLOOKUP($B118,MMWR_TRAD_AGG_STATE_PEN[],H$1,0),"ERROR")</f>
        <v>274</v>
      </c>
      <c r="I118" s="112">
        <f>IFERROR(VLOOKUP($B118,MMWR_TRAD_AGG_STATE_PEN[],I$1,0),"ERROR")</f>
        <v>24</v>
      </c>
      <c r="J118" s="114">
        <f t="shared" si="13"/>
        <v>8.7591240875912413E-2</v>
      </c>
      <c r="K118" s="111">
        <f>IFERROR(VLOOKUP($B118,MMWR_TRAD_AGG_STATE_PEN[],K$1,0),"ERROR")</f>
        <v>1</v>
      </c>
      <c r="L118" s="112">
        <f>IFERROR(VLOOKUP($B118,MMWR_TRAD_AGG_STATE_PEN[],L$1,0),"ERROR")</f>
        <v>0</v>
      </c>
      <c r="M118" s="114">
        <f t="shared" si="14"/>
        <v>0</v>
      </c>
      <c r="N118" s="111">
        <f>IFERROR(VLOOKUP($B118,MMWR_TRAD_AGG_STATE_PEN[],N$1,0),"ERROR")</f>
        <v>16</v>
      </c>
      <c r="O118" s="112">
        <f>IFERROR(VLOOKUP($B118,MMWR_TRAD_AGG_STATE_PEN[],O$1,0),"ERROR")</f>
        <v>4</v>
      </c>
      <c r="P118" s="114">
        <f t="shared" si="15"/>
        <v>0.25</v>
      </c>
      <c r="Q118" s="115">
        <f>IFERROR(VLOOKUP($B118,MMWR_TRAD_AGG_STATE_PEN[],Q$1,0),"ERROR")</f>
        <v>361</v>
      </c>
      <c r="R118" s="115">
        <f>IFERROR(VLOOKUP($B118,MMWR_TRAD_AGG_STATE_PEN[],R$1,0),"ERROR")</f>
        <v>49</v>
      </c>
      <c r="S118" s="115">
        <f>IFERROR(VLOOKUP($B118,MMWR_APP_STATE_PEN[],S$1,0),"ERROR")</f>
        <v>88</v>
      </c>
      <c r="T118" s="28"/>
    </row>
    <row r="119" spans="1:20" s="123" customFormat="1" x14ac:dyDescent="0.2">
      <c r="A119" s="28"/>
      <c r="B119" s="126" t="s">
        <v>387</v>
      </c>
      <c r="C119" s="102">
        <f>IFERROR(VLOOKUP($B119,MMWR_TRAD_AGG_ST_DISTRICT_PEN[],C$1,0),"ERROR")</f>
        <v>6497</v>
      </c>
      <c r="D119" s="103">
        <f>IFERROR(VLOOKUP($B119,MMWR_TRAD_AGG_ST_DISTRICT_PEN[],D$1,0),"ERROR")</f>
        <v>100.1032784362</v>
      </c>
      <c r="E119" s="102">
        <f>IFERROR(VLOOKUP($B119,MMWR_TRAD_AGG_ST_DISTRICT_PEN[],E$1,0),"ERROR")</f>
        <v>9015</v>
      </c>
      <c r="F119" s="102">
        <f>IFERROR(VLOOKUP($B119,MMWR_TRAD_AGG_ST_DISTRICT_PEN[],F$1,0),"ERROR")</f>
        <v>1592</v>
      </c>
      <c r="G119" s="104">
        <f t="shared" si="12"/>
        <v>0.17659456461453132</v>
      </c>
      <c r="H119" s="102">
        <f>IFERROR(VLOOKUP($B119,MMWR_TRAD_AGG_ST_DISTRICT_PEN[],H$1,0),"ERROR")</f>
        <v>9336</v>
      </c>
      <c r="I119" s="102">
        <f>IFERROR(VLOOKUP($B119,MMWR_TRAD_AGG_ST_DISTRICT_PEN[],I$1,0),"ERROR")</f>
        <v>2841</v>
      </c>
      <c r="J119" s="104">
        <f t="shared" si="13"/>
        <v>0.30430591259640105</v>
      </c>
      <c r="K119" s="102">
        <f>IFERROR(VLOOKUP($B119,MMWR_TRAD_AGG_ST_DISTRICT_PEN[],K$1,0),"ERROR")</f>
        <v>181</v>
      </c>
      <c r="L119" s="102">
        <f>IFERROR(VLOOKUP($B119,MMWR_TRAD_AGG_ST_DISTRICT_PEN[],L$1,0),"ERROR")</f>
        <v>170</v>
      </c>
      <c r="M119" s="104">
        <f t="shared" si="14"/>
        <v>0.93922651933701662</v>
      </c>
      <c r="N119" s="102">
        <f>IFERROR(VLOOKUP($B119,MMWR_TRAD_AGG_ST_DISTRICT_PEN[],N$1,0),"ERROR")</f>
        <v>597</v>
      </c>
      <c r="O119" s="102">
        <f>IFERROR(VLOOKUP($B119,MMWR_TRAD_AGG_ST_DISTRICT_PEN[],O$1,0),"ERROR")</f>
        <v>185</v>
      </c>
      <c r="P119" s="104">
        <f t="shared" si="15"/>
        <v>0.30988274706867669</v>
      </c>
      <c r="Q119" s="102">
        <f>IFERROR(VLOOKUP($B119,MMWR_TRAD_AGG_ST_DISTRICT_PEN[],Q$1,0),"ERROR")</f>
        <v>1188</v>
      </c>
      <c r="R119" s="106">
        <f>IFERROR(VLOOKUP($B119,MMWR_TRAD_AGG_ST_DISTRICT_PEN[],R$1,0),"ERROR")</f>
        <v>1903</v>
      </c>
      <c r="S119" s="106">
        <f>IFERROR(VLOOKUP($B119,MMWR_APP_STATE_PEN[],S$1,0),"ERROR")</f>
        <v>2007</v>
      </c>
      <c r="T119" s="28"/>
    </row>
    <row r="120" spans="1:20" s="123" customFormat="1" x14ac:dyDescent="0.2">
      <c r="A120" s="28"/>
      <c r="B120" s="127" t="s">
        <v>395</v>
      </c>
      <c r="C120" s="109">
        <f>IFERROR(VLOOKUP($B120,MMWR_TRAD_AGG_STATE_PEN[],C$1,0),"ERROR")</f>
        <v>392</v>
      </c>
      <c r="D120" s="110">
        <f>IFERROR(VLOOKUP($B120,MMWR_TRAD_AGG_STATE_PEN[],D$1,0),"ERROR")</f>
        <v>51.887755102</v>
      </c>
      <c r="E120" s="111">
        <f>IFERROR(VLOOKUP($B120,MMWR_TRAD_AGG_STATE_PEN[],E$1,0),"ERROR")</f>
        <v>952</v>
      </c>
      <c r="F120" s="112">
        <f>IFERROR(VLOOKUP($B120,MMWR_TRAD_AGG_STATE_PEN[],F$1,0),"ERROR")</f>
        <v>64</v>
      </c>
      <c r="G120" s="113">
        <f t="shared" si="12"/>
        <v>6.7226890756302518E-2</v>
      </c>
      <c r="H120" s="111">
        <f>IFERROR(VLOOKUP($B120,MMWR_TRAD_AGG_STATE_PEN[],H$1,0),"ERROR")</f>
        <v>615</v>
      </c>
      <c r="I120" s="112">
        <f>IFERROR(VLOOKUP($B120,MMWR_TRAD_AGG_STATE_PEN[],I$1,0),"ERROR")</f>
        <v>36</v>
      </c>
      <c r="J120" s="114">
        <f t="shared" si="13"/>
        <v>5.8536585365853662E-2</v>
      </c>
      <c r="K120" s="111">
        <f>IFERROR(VLOOKUP($B120,MMWR_TRAD_AGG_STATE_PEN[],K$1,0),"ERROR")</f>
        <v>4</v>
      </c>
      <c r="L120" s="112">
        <f>IFERROR(VLOOKUP($B120,MMWR_TRAD_AGG_STATE_PEN[],L$1,0),"ERROR")</f>
        <v>3</v>
      </c>
      <c r="M120" s="114">
        <f t="shared" si="14"/>
        <v>0.75</v>
      </c>
      <c r="N120" s="111">
        <f>IFERROR(VLOOKUP($B120,MMWR_TRAD_AGG_STATE_PEN[],N$1,0),"ERROR")</f>
        <v>62</v>
      </c>
      <c r="O120" s="112">
        <f>IFERROR(VLOOKUP($B120,MMWR_TRAD_AGG_STATE_PEN[],O$1,0),"ERROR")</f>
        <v>12</v>
      </c>
      <c r="P120" s="114">
        <f t="shared" si="15"/>
        <v>0.19354838709677419</v>
      </c>
      <c r="Q120" s="115">
        <f>IFERROR(VLOOKUP($B120,MMWR_TRAD_AGG_STATE_PEN[],Q$1,0),"ERROR")</f>
        <v>123</v>
      </c>
      <c r="R120" s="115">
        <f>IFERROR(VLOOKUP($B120,MMWR_TRAD_AGG_STATE_PEN[],R$1,0),"ERROR")</f>
        <v>102</v>
      </c>
      <c r="S120" s="115">
        <f>IFERROR(VLOOKUP($B120,MMWR_APP_STATE_PEN[],S$1,0),"ERROR")</f>
        <v>285</v>
      </c>
      <c r="T120" s="28"/>
    </row>
    <row r="121" spans="1:20" s="123" customFormat="1" x14ac:dyDescent="0.2">
      <c r="A121" s="28"/>
      <c r="B121" s="127" t="s">
        <v>432</v>
      </c>
      <c r="C121" s="109">
        <f>IFERROR(VLOOKUP($B121,MMWR_TRAD_AGG_STATE_PEN[],C$1,0),"ERROR")</f>
        <v>2482</v>
      </c>
      <c r="D121" s="110">
        <f>IFERROR(VLOOKUP($B121,MMWR_TRAD_AGG_STATE_PEN[],D$1,0),"ERROR")</f>
        <v>104.41418211120001</v>
      </c>
      <c r="E121" s="111">
        <f>IFERROR(VLOOKUP($B121,MMWR_TRAD_AGG_STATE_PEN[],E$1,0),"ERROR")</f>
        <v>3599</v>
      </c>
      <c r="F121" s="112">
        <f>IFERROR(VLOOKUP($B121,MMWR_TRAD_AGG_STATE_PEN[],F$1,0),"ERROR")</f>
        <v>734</v>
      </c>
      <c r="G121" s="113">
        <f t="shared" si="12"/>
        <v>0.20394554042789664</v>
      </c>
      <c r="H121" s="111">
        <f>IFERROR(VLOOKUP($B121,MMWR_TRAD_AGG_STATE_PEN[],H$1,0),"ERROR")</f>
        <v>3428</v>
      </c>
      <c r="I121" s="112">
        <f>IFERROR(VLOOKUP($B121,MMWR_TRAD_AGG_STATE_PEN[],I$1,0),"ERROR")</f>
        <v>1180</v>
      </c>
      <c r="J121" s="114">
        <f t="shared" si="13"/>
        <v>0.34422403733955659</v>
      </c>
      <c r="K121" s="111">
        <f>IFERROR(VLOOKUP($B121,MMWR_TRAD_AGG_STATE_PEN[],K$1,0),"ERROR")</f>
        <v>87</v>
      </c>
      <c r="L121" s="112">
        <f>IFERROR(VLOOKUP($B121,MMWR_TRAD_AGG_STATE_PEN[],L$1,0),"ERROR")</f>
        <v>84</v>
      </c>
      <c r="M121" s="114">
        <f t="shared" si="14"/>
        <v>0.96551724137931039</v>
      </c>
      <c r="N121" s="111">
        <f>IFERROR(VLOOKUP($B121,MMWR_TRAD_AGG_STATE_PEN[],N$1,0),"ERROR")</f>
        <v>214</v>
      </c>
      <c r="O121" s="112">
        <f>IFERROR(VLOOKUP($B121,MMWR_TRAD_AGG_STATE_PEN[],O$1,0),"ERROR")</f>
        <v>71</v>
      </c>
      <c r="P121" s="114">
        <f t="shared" si="15"/>
        <v>0.33177570093457942</v>
      </c>
      <c r="Q121" s="115">
        <f>IFERROR(VLOOKUP($B121,MMWR_TRAD_AGG_STATE_PEN[],Q$1,0),"ERROR")</f>
        <v>440</v>
      </c>
      <c r="R121" s="115">
        <f>IFERROR(VLOOKUP($B121,MMWR_TRAD_AGG_STATE_PEN[],R$1,0),"ERROR")</f>
        <v>769</v>
      </c>
      <c r="S121" s="115">
        <f>IFERROR(VLOOKUP($B121,MMWR_APP_STATE_PEN[],S$1,0),"ERROR")</f>
        <v>626</v>
      </c>
      <c r="T121" s="28"/>
    </row>
    <row r="122" spans="1:20" s="123" customFormat="1" x14ac:dyDescent="0.2">
      <c r="A122" s="28"/>
      <c r="B122" s="127" t="s">
        <v>388</v>
      </c>
      <c r="C122" s="109">
        <f>IFERROR(VLOOKUP($B122,MMWR_TRAD_AGG_STATE_PEN[],C$1,0),"ERROR")</f>
        <v>1273</v>
      </c>
      <c r="D122" s="110">
        <f>IFERROR(VLOOKUP($B122,MMWR_TRAD_AGG_STATE_PEN[],D$1,0),"ERROR")</f>
        <v>109.8043990573</v>
      </c>
      <c r="E122" s="111">
        <f>IFERROR(VLOOKUP($B122,MMWR_TRAD_AGG_STATE_PEN[],E$1,0),"ERROR")</f>
        <v>1666</v>
      </c>
      <c r="F122" s="112">
        <f>IFERROR(VLOOKUP($B122,MMWR_TRAD_AGG_STATE_PEN[],F$1,0),"ERROR")</f>
        <v>357</v>
      </c>
      <c r="G122" s="113">
        <f t="shared" si="12"/>
        <v>0.21428571428571427</v>
      </c>
      <c r="H122" s="111">
        <f>IFERROR(VLOOKUP($B122,MMWR_TRAD_AGG_STATE_PEN[],H$1,0),"ERROR")</f>
        <v>1755</v>
      </c>
      <c r="I122" s="112">
        <f>IFERROR(VLOOKUP($B122,MMWR_TRAD_AGG_STATE_PEN[],I$1,0),"ERROR")</f>
        <v>609</v>
      </c>
      <c r="J122" s="114">
        <f t="shared" si="13"/>
        <v>0.347008547008547</v>
      </c>
      <c r="K122" s="111">
        <f>IFERROR(VLOOKUP($B122,MMWR_TRAD_AGG_STATE_PEN[],K$1,0),"ERROR")</f>
        <v>54</v>
      </c>
      <c r="L122" s="112">
        <f>IFERROR(VLOOKUP($B122,MMWR_TRAD_AGG_STATE_PEN[],L$1,0),"ERROR")</f>
        <v>51</v>
      </c>
      <c r="M122" s="114">
        <f t="shared" si="14"/>
        <v>0.94444444444444442</v>
      </c>
      <c r="N122" s="111">
        <f>IFERROR(VLOOKUP($B122,MMWR_TRAD_AGG_STATE_PEN[],N$1,0),"ERROR")</f>
        <v>129</v>
      </c>
      <c r="O122" s="112">
        <f>IFERROR(VLOOKUP($B122,MMWR_TRAD_AGG_STATE_PEN[],O$1,0),"ERROR")</f>
        <v>43</v>
      </c>
      <c r="P122" s="114">
        <f t="shared" si="15"/>
        <v>0.33333333333333331</v>
      </c>
      <c r="Q122" s="115">
        <f>IFERROR(VLOOKUP($B122,MMWR_TRAD_AGG_STATE_PEN[],Q$1,0),"ERROR")</f>
        <v>204</v>
      </c>
      <c r="R122" s="115">
        <f>IFERROR(VLOOKUP($B122,MMWR_TRAD_AGG_STATE_PEN[],R$1,0),"ERROR")</f>
        <v>489</v>
      </c>
      <c r="S122" s="115">
        <f>IFERROR(VLOOKUP($B122,MMWR_APP_STATE_PEN[],S$1,0),"ERROR")</f>
        <v>389</v>
      </c>
      <c r="T122" s="28"/>
    </row>
    <row r="123" spans="1:20" s="123" customFormat="1" x14ac:dyDescent="0.2">
      <c r="A123" s="28"/>
      <c r="B123" s="127" t="s">
        <v>400</v>
      </c>
      <c r="C123" s="109">
        <f>IFERROR(VLOOKUP($B123,MMWR_TRAD_AGG_STATE_PEN[],C$1,0),"ERROR")</f>
        <v>170</v>
      </c>
      <c r="D123" s="110">
        <f>IFERROR(VLOOKUP($B123,MMWR_TRAD_AGG_STATE_PEN[],D$1,0),"ERROR")</f>
        <v>58.370588235299998</v>
      </c>
      <c r="E123" s="111">
        <f>IFERROR(VLOOKUP($B123,MMWR_TRAD_AGG_STATE_PEN[],E$1,0),"ERROR")</f>
        <v>455</v>
      </c>
      <c r="F123" s="112">
        <f>IFERROR(VLOOKUP($B123,MMWR_TRAD_AGG_STATE_PEN[],F$1,0),"ERROR")</f>
        <v>39</v>
      </c>
      <c r="G123" s="113">
        <f t="shared" si="12"/>
        <v>8.5714285714285715E-2</v>
      </c>
      <c r="H123" s="111">
        <f>IFERROR(VLOOKUP($B123,MMWR_TRAD_AGG_STATE_PEN[],H$1,0),"ERROR")</f>
        <v>297</v>
      </c>
      <c r="I123" s="112">
        <f>IFERROR(VLOOKUP($B123,MMWR_TRAD_AGG_STATE_PEN[],I$1,0),"ERROR")</f>
        <v>26</v>
      </c>
      <c r="J123" s="114">
        <f t="shared" si="13"/>
        <v>8.7542087542087546E-2</v>
      </c>
      <c r="K123" s="111">
        <f>IFERROR(VLOOKUP($B123,MMWR_TRAD_AGG_STATE_PEN[],K$1,0),"ERROR")</f>
        <v>2</v>
      </c>
      <c r="L123" s="112">
        <f>IFERROR(VLOOKUP($B123,MMWR_TRAD_AGG_STATE_PEN[],L$1,0),"ERROR")</f>
        <v>1</v>
      </c>
      <c r="M123" s="114">
        <f t="shared" si="14"/>
        <v>0.5</v>
      </c>
      <c r="N123" s="111">
        <f>IFERROR(VLOOKUP($B123,MMWR_TRAD_AGG_STATE_PEN[],N$1,0),"ERROR")</f>
        <v>47</v>
      </c>
      <c r="O123" s="112">
        <f>IFERROR(VLOOKUP($B123,MMWR_TRAD_AGG_STATE_PEN[],O$1,0),"ERROR")</f>
        <v>10</v>
      </c>
      <c r="P123" s="114">
        <f t="shared" si="15"/>
        <v>0.21276595744680851</v>
      </c>
      <c r="Q123" s="115">
        <f>IFERROR(VLOOKUP($B123,MMWR_TRAD_AGG_STATE_PEN[],Q$1,0),"ERROR")</f>
        <v>63</v>
      </c>
      <c r="R123" s="115">
        <f>IFERROR(VLOOKUP($B123,MMWR_TRAD_AGG_STATE_PEN[],R$1,0),"ERROR")</f>
        <v>63</v>
      </c>
      <c r="S123" s="115">
        <f>IFERROR(VLOOKUP($B123,MMWR_APP_STATE_PEN[],S$1,0),"ERROR")</f>
        <v>139</v>
      </c>
      <c r="T123" s="28"/>
    </row>
    <row r="124" spans="1:20" s="123" customFormat="1" x14ac:dyDescent="0.2">
      <c r="A124" s="28"/>
      <c r="B124" s="127" t="s">
        <v>434</v>
      </c>
      <c r="C124" s="109">
        <f>IFERROR(VLOOKUP($B124,MMWR_TRAD_AGG_STATE_PEN[],C$1,0),"ERROR")</f>
        <v>982</v>
      </c>
      <c r="D124" s="110">
        <f>IFERROR(VLOOKUP($B124,MMWR_TRAD_AGG_STATE_PEN[],D$1,0),"ERROR")</f>
        <v>109.5784114053</v>
      </c>
      <c r="E124" s="111">
        <f>IFERROR(VLOOKUP($B124,MMWR_TRAD_AGG_STATE_PEN[],E$1,0),"ERROR")</f>
        <v>640</v>
      </c>
      <c r="F124" s="112">
        <f>IFERROR(VLOOKUP($B124,MMWR_TRAD_AGG_STATE_PEN[],F$1,0),"ERROR")</f>
        <v>120</v>
      </c>
      <c r="G124" s="113">
        <f t="shared" si="12"/>
        <v>0.1875</v>
      </c>
      <c r="H124" s="111">
        <f>IFERROR(VLOOKUP($B124,MMWR_TRAD_AGG_STATE_PEN[],H$1,0),"ERROR")</f>
        <v>1510</v>
      </c>
      <c r="I124" s="112">
        <f>IFERROR(VLOOKUP($B124,MMWR_TRAD_AGG_STATE_PEN[],I$1,0),"ERROR")</f>
        <v>515</v>
      </c>
      <c r="J124" s="114">
        <f t="shared" si="13"/>
        <v>0.34105960264900664</v>
      </c>
      <c r="K124" s="111">
        <f>IFERROR(VLOOKUP($B124,MMWR_TRAD_AGG_STATE_PEN[],K$1,0),"ERROR")</f>
        <v>15</v>
      </c>
      <c r="L124" s="112">
        <f>IFERROR(VLOOKUP($B124,MMWR_TRAD_AGG_STATE_PEN[],L$1,0),"ERROR")</f>
        <v>14</v>
      </c>
      <c r="M124" s="114">
        <f t="shared" si="14"/>
        <v>0.93333333333333335</v>
      </c>
      <c r="N124" s="111">
        <f>IFERROR(VLOOKUP($B124,MMWR_TRAD_AGG_STATE_PEN[],N$1,0),"ERROR")</f>
        <v>27</v>
      </c>
      <c r="O124" s="112">
        <f>IFERROR(VLOOKUP($B124,MMWR_TRAD_AGG_STATE_PEN[],O$1,0),"ERROR")</f>
        <v>15</v>
      </c>
      <c r="P124" s="114">
        <f t="shared" si="15"/>
        <v>0.55555555555555558</v>
      </c>
      <c r="Q124" s="115">
        <f>IFERROR(VLOOKUP($B124,MMWR_TRAD_AGG_STATE_PEN[],Q$1,0),"ERROR")</f>
        <v>84</v>
      </c>
      <c r="R124" s="115">
        <f>IFERROR(VLOOKUP($B124,MMWR_TRAD_AGG_STATE_PEN[],R$1,0),"ERROR")</f>
        <v>128</v>
      </c>
      <c r="S124" s="115">
        <f>IFERROR(VLOOKUP($B124,MMWR_APP_STATE_PEN[],S$1,0),"ERROR")</f>
        <v>139</v>
      </c>
      <c r="T124" s="28"/>
    </row>
    <row r="125" spans="1:20" s="123" customFormat="1" x14ac:dyDescent="0.2">
      <c r="A125" s="28"/>
      <c r="B125" s="127" t="s">
        <v>390</v>
      </c>
      <c r="C125" s="109">
        <f>IFERROR(VLOOKUP($B125,MMWR_TRAD_AGG_STATE_PEN[],C$1,0),"ERROR")</f>
        <v>887</v>
      </c>
      <c r="D125" s="110">
        <f>IFERROR(VLOOKUP($B125,MMWR_TRAD_AGG_STATE_PEN[],D$1,0),"ERROR")</f>
        <v>108.2581736189</v>
      </c>
      <c r="E125" s="111">
        <f>IFERROR(VLOOKUP($B125,MMWR_TRAD_AGG_STATE_PEN[],E$1,0),"ERROR")</f>
        <v>958</v>
      </c>
      <c r="F125" s="112">
        <f>IFERROR(VLOOKUP($B125,MMWR_TRAD_AGG_STATE_PEN[],F$1,0),"ERROR")</f>
        <v>232</v>
      </c>
      <c r="G125" s="113">
        <f t="shared" si="12"/>
        <v>0.24217118997912318</v>
      </c>
      <c r="H125" s="111">
        <f>IFERROR(VLOOKUP($B125,MMWR_TRAD_AGG_STATE_PEN[],H$1,0),"ERROR")</f>
        <v>1219</v>
      </c>
      <c r="I125" s="112">
        <f>IFERROR(VLOOKUP($B125,MMWR_TRAD_AGG_STATE_PEN[],I$1,0),"ERROR")</f>
        <v>437</v>
      </c>
      <c r="J125" s="114">
        <f t="shared" si="13"/>
        <v>0.35849056603773582</v>
      </c>
      <c r="K125" s="111">
        <f>IFERROR(VLOOKUP($B125,MMWR_TRAD_AGG_STATE_PEN[],K$1,0),"ERROR")</f>
        <v>16</v>
      </c>
      <c r="L125" s="112">
        <f>IFERROR(VLOOKUP($B125,MMWR_TRAD_AGG_STATE_PEN[],L$1,0),"ERROR")</f>
        <v>14</v>
      </c>
      <c r="M125" s="114">
        <f t="shared" si="14"/>
        <v>0.875</v>
      </c>
      <c r="N125" s="111">
        <f>IFERROR(VLOOKUP($B125,MMWR_TRAD_AGG_STATE_PEN[],N$1,0),"ERROR")</f>
        <v>59</v>
      </c>
      <c r="O125" s="112">
        <f>IFERROR(VLOOKUP($B125,MMWR_TRAD_AGG_STATE_PEN[],O$1,0),"ERROR")</f>
        <v>20</v>
      </c>
      <c r="P125" s="114">
        <f t="shared" si="15"/>
        <v>0.33898305084745761</v>
      </c>
      <c r="Q125" s="115">
        <f>IFERROR(VLOOKUP($B125,MMWR_TRAD_AGG_STATE_PEN[],Q$1,0),"ERROR")</f>
        <v>160</v>
      </c>
      <c r="R125" s="115">
        <f>IFERROR(VLOOKUP($B125,MMWR_TRAD_AGG_STATE_PEN[],R$1,0),"ERROR")</f>
        <v>283</v>
      </c>
      <c r="S125" s="115">
        <f>IFERROR(VLOOKUP($B125,MMWR_APP_STATE_PEN[],S$1,0),"ERROR")</f>
        <v>175</v>
      </c>
      <c r="T125" s="28"/>
    </row>
    <row r="126" spans="1:20" s="123" customFormat="1" x14ac:dyDescent="0.2">
      <c r="A126" s="28"/>
      <c r="B126" s="127" t="s">
        <v>391</v>
      </c>
      <c r="C126" s="109">
        <f>IFERROR(VLOOKUP($B126,MMWR_TRAD_AGG_STATE_PEN[],C$1,0),"ERROR")</f>
        <v>311</v>
      </c>
      <c r="D126" s="110">
        <f>IFERROR(VLOOKUP($B126,MMWR_TRAD_AGG_STATE_PEN[],D$1,0),"ERROR")</f>
        <v>56.398713826399998</v>
      </c>
      <c r="E126" s="111">
        <f>IFERROR(VLOOKUP($B126,MMWR_TRAD_AGG_STATE_PEN[],E$1,0),"ERROR")</f>
        <v>745</v>
      </c>
      <c r="F126" s="112">
        <f>IFERROR(VLOOKUP($B126,MMWR_TRAD_AGG_STATE_PEN[],F$1,0),"ERROR")</f>
        <v>46</v>
      </c>
      <c r="G126" s="113">
        <f t="shared" si="12"/>
        <v>6.174496644295302E-2</v>
      </c>
      <c r="H126" s="111">
        <f>IFERROR(VLOOKUP($B126,MMWR_TRAD_AGG_STATE_PEN[],H$1,0),"ERROR")</f>
        <v>512</v>
      </c>
      <c r="I126" s="112">
        <f>IFERROR(VLOOKUP($B126,MMWR_TRAD_AGG_STATE_PEN[],I$1,0),"ERROR")</f>
        <v>38</v>
      </c>
      <c r="J126" s="114">
        <f t="shared" si="13"/>
        <v>7.421875E-2</v>
      </c>
      <c r="K126" s="111">
        <f>IFERROR(VLOOKUP($B126,MMWR_TRAD_AGG_STATE_PEN[],K$1,0),"ERROR")</f>
        <v>3</v>
      </c>
      <c r="L126" s="112">
        <f>IFERROR(VLOOKUP($B126,MMWR_TRAD_AGG_STATE_PEN[],L$1,0),"ERROR")</f>
        <v>3</v>
      </c>
      <c r="M126" s="114">
        <f t="shared" si="14"/>
        <v>1</v>
      </c>
      <c r="N126" s="111">
        <f>IFERROR(VLOOKUP($B126,MMWR_TRAD_AGG_STATE_PEN[],N$1,0),"ERROR")</f>
        <v>59</v>
      </c>
      <c r="O126" s="112">
        <f>IFERROR(VLOOKUP($B126,MMWR_TRAD_AGG_STATE_PEN[],O$1,0),"ERROR")</f>
        <v>14</v>
      </c>
      <c r="P126" s="114">
        <f t="shared" si="15"/>
        <v>0.23728813559322035</v>
      </c>
      <c r="Q126" s="115">
        <f>IFERROR(VLOOKUP($B126,MMWR_TRAD_AGG_STATE_PEN[],Q$1,0),"ERROR")</f>
        <v>114</v>
      </c>
      <c r="R126" s="115">
        <f>IFERROR(VLOOKUP($B126,MMWR_TRAD_AGG_STATE_PEN[],R$1,0),"ERROR")</f>
        <v>69</v>
      </c>
      <c r="S126" s="115">
        <f>IFERROR(VLOOKUP($B126,MMWR_APP_STATE_PEN[],S$1,0),"ERROR")</f>
        <v>254</v>
      </c>
      <c r="T126" s="28"/>
    </row>
    <row r="127" spans="1:20" s="123" customFormat="1" x14ac:dyDescent="0.2">
      <c r="A127" s="28"/>
      <c r="B127" s="128" t="s">
        <v>8</v>
      </c>
      <c r="C127" s="102">
        <f>IFERROR(VLOOKUP($B127,MMWR_TRAD_AGG_ST_DISTRICT_PEN[],C$1,0),"ERROR")</f>
        <v>139</v>
      </c>
      <c r="D127" s="103">
        <f>IFERROR(VLOOKUP($B127,MMWR_TRAD_AGG_ST_DISTRICT_PEN[],D$1,0),"ERROR")</f>
        <v>106.05035971220001</v>
      </c>
      <c r="E127" s="102">
        <f>IFERROR(VLOOKUP($B127,MMWR_TRAD_AGG_ST_DISTRICT_PEN[],E$1,0),"ERROR")</f>
        <v>193</v>
      </c>
      <c r="F127" s="102">
        <f>IFERROR(VLOOKUP($B127,MMWR_TRAD_AGG_ST_DISTRICT_PEN[],F$1,0),"ERROR")</f>
        <v>84</v>
      </c>
      <c r="G127" s="104">
        <f t="shared" si="12"/>
        <v>0.43523316062176165</v>
      </c>
      <c r="H127" s="102">
        <f>IFERROR(VLOOKUP($B127,MMWR_TRAD_AGG_ST_DISTRICT_PEN[],H$1,0),"ERROR")</f>
        <v>296</v>
      </c>
      <c r="I127" s="102">
        <f>IFERROR(VLOOKUP($B127,MMWR_TRAD_AGG_ST_DISTRICT_PEN[],I$1,0),"ERROR")</f>
        <v>162</v>
      </c>
      <c r="J127" s="104">
        <f t="shared" si="13"/>
        <v>0.54729729729729726</v>
      </c>
      <c r="K127" s="102">
        <f>IFERROR(VLOOKUP($B127,MMWR_TRAD_AGG_ST_DISTRICT_PEN[],K$1,0),"ERROR")</f>
        <v>13</v>
      </c>
      <c r="L127" s="102">
        <f>IFERROR(VLOOKUP($B127,MMWR_TRAD_AGG_ST_DISTRICT_PEN[],L$1,0),"ERROR")</f>
        <v>10</v>
      </c>
      <c r="M127" s="104">
        <f t="shared" si="14"/>
        <v>0.76923076923076927</v>
      </c>
      <c r="N127" s="102">
        <f>IFERROR(VLOOKUP($B127,MMWR_TRAD_AGG_ST_DISTRICT_PEN[],N$1,0),"ERROR")</f>
        <v>14</v>
      </c>
      <c r="O127" s="102">
        <f>IFERROR(VLOOKUP($B127,MMWR_TRAD_AGG_ST_DISTRICT_PEN[],O$1,0),"ERROR")</f>
        <v>8</v>
      </c>
      <c r="P127" s="104">
        <f t="shared" si="15"/>
        <v>0.5714285714285714</v>
      </c>
      <c r="Q127" s="102">
        <f>IFERROR(VLOOKUP($B127,MMWR_TRAD_AGG_ST_DISTRICT_PEN[],Q$1,0),"ERROR")</f>
        <v>46</v>
      </c>
      <c r="R127" s="106">
        <f>IFERROR(VLOOKUP($B127,MMWR_TRAD_AGG_ST_DISTRICT_PEN[],R$1,0),"ERROR")</f>
        <v>17</v>
      </c>
      <c r="S127" s="106">
        <f>IFERROR(VLOOKUP($B127,MMWR_APP_STATE_PEN[],S$1,0),"ERROR")</f>
        <v>8</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378971</v>
      </c>
      <c r="D3">
        <v>296671</v>
      </c>
      <c r="F3" t="s">
        <v>34</v>
      </c>
      <c r="G3">
        <v>1081</v>
      </c>
      <c r="H3">
        <v>132.04625346899999</v>
      </c>
      <c r="I3">
        <v>3109</v>
      </c>
      <c r="J3">
        <v>613</v>
      </c>
      <c r="K3">
        <v>1546</v>
      </c>
      <c r="L3">
        <v>500</v>
      </c>
      <c r="M3">
        <v>361</v>
      </c>
      <c r="N3">
        <v>94</v>
      </c>
      <c r="O3">
        <v>371</v>
      </c>
      <c r="P3">
        <v>208</v>
      </c>
      <c r="Q3">
        <v>0</v>
      </c>
      <c r="R3">
        <v>8</v>
      </c>
      <c r="T3" t="s">
        <v>215</v>
      </c>
      <c r="U3">
        <v>2980</v>
      </c>
      <c r="V3">
        <v>53.631879194600003</v>
      </c>
      <c r="W3">
        <v>8329</v>
      </c>
      <c r="X3">
        <v>656</v>
      </c>
      <c r="Y3">
        <v>5056</v>
      </c>
      <c r="Z3">
        <v>220</v>
      </c>
      <c r="AA3">
        <v>3</v>
      </c>
      <c r="AB3">
        <v>3</v>
      </c>
      <c r="AC3">
        <v>459</v>
      </c>
      <c r="AD3">
        <v>67</v>
      </c>
      <c r="AE3">
        <v>1006</v>
      </c>
      <c r="AF3">
        <v>773</v>
      </c>
      <c r="AH3" t="s">
        <v>395</v>
      </c>
      <c r="AI3">
        <v>13857</v>
      </c>
      <c r="AJ3">
        <v>383.82867864619999</v>
      </c>
      <c r="AK3">
        <v>7939</v>
      </c>
      <c r="AL3">
        <v>1387</v>
      </c>
      <c r="AM3">
        <v>17724</v>
      </c>
      <c r="AN3">
        <v>12041</v>
      </c>
      <c r="AO3">
        <v>4908</v>
      </c>
      <c r="AP3">
        <v>3772</v>
      </c>
      <c r="AQ3">
        <v>3157</v>
      </c>
      <c r="AR3">
        <v>1873</v>
      </c>
      <c r="AS3">
        <v>424</v>
      </c>
      <c r="AT3">
        <v>354</v>
      </c>
      <c r="AV3" t="s">
        <v>420</v>
      </c>
      <c r="AW3">
        <v>62</v>
      </c>
      <c r="AX3">
        <v>49.790322580599998</v>
      </c>
      <c r="AY3">
        <v>179</v>
      </c>
      <c r="AZ3">
        <v>3</v>
      </c>
      <c r="BA3">
        <v>99</v>
      </c>
      <c r="BB3">
        <v>9</v>
      </c>
      <c r="BC3">
        <v>0</v>
      </c>
      <c r="BE3">
        <v>11</v>
      </c>
      <c r="BF3">
        <v>4</v>
      </c>
      <c r="BG3">
        <v>103</v>
      </c>
      <c r="BH3">
        <v>23</v>
      </c>
      <c r="BJ3" t="s">
        <v>735</v>
      </c>
      <c r="BK3" t="s">
        <v>738</v>
      </c>
      <c r="BL3">
        <v>317877</v>
      </c>
      <c r="BM3">
        <v>69419</v>
      </c>
      <c r="BN3">
        <v>93.061268981400005</v>
      </c>
      <c r="BO3">
        <v>210534</v>
      </c>
      <c r="BP3">
        <v>37034</v>
      </c>
      <c r="BQ3">
        <v>135.9917020529</v>
      </c>
      <c r="BR3">
        <v>135.98258357189999</v>
      </c>
      <c r="BS3">
        <v>317877</v>
      </c>
      <c r="BT3">
        <v>69419</v>
      </c>
      <c r="BU3">
        <v>93.061268981400005</v>
      </c>
      <c r="BV3">
        <v>210534</v>
      </c>
      <c r="BW3">
        <v>37034</v>
      </c>
      <c r="BX3">
        <v>135.9917020529</v>
      </c>
      <c r="BY3">
        <v>135.98258357189999</v>
      </c>
      <c r="CA3" t="s">
        <v>1044</v>
      </c>
      <c r="CB3" t="s">
        <v>738</v>
      </c>
      <c r="CC3" t="s">
        <v>924</v>
      </c>
      <c r="CD3">
        <v>11913</v>
      </c>
      <c r="CE3">
        <v>2339</v>
      </c>
      <c r="CF3">
        <v>80.065642575300004</v>
      </c>
      <c r="CG3">
        <v>4421</v>
      </c>
      <c r="CH3">
        <v>840</v>
      </c>
      <c r="CI3">
        <v>130.7787830808</v>
      </c>
      <c r="CJ3">
        <v>136.74166666670001</v>
      </c>
      <c r="CL3" t="s">
        <v>1044</v>
      </c>
      <c r="CM3" t="s">
        <v>738</v>
      </c>
      <c r="CN3" t="s">
        <v>924</v>
      </c>
      <c r="CO3">
        <v>11913</v>
      </c>
      <c r="CP3">
        <v>2339</v>
      </c>
      <c r="CQ3">
        <v>80.065642575300004</v>
      </c>
      <c r="CR3">
        <v>4421</v>
      </c>
      <c r="CS3">
        <v>840</v>
      </c>
      <c r="CT3">
        <v>130.7787830808</v>
      </c>
      <c r="CU3">
        <v>136.74166666670001</v>
      </c>
      <c r="CW3" t="s">
        <v>1044</v>
      </c>
      <c r="CX3" t="s">
        <v>738</v>
      </c>
      <c r="CY3" t="s">
        <v>924</v>
      </c>
      <c r="CZ3">
        <v>11913</v>
      </c>
      <c r="DA3">
        <v>2339</v>
      </c>
      <c r="DB3">
        <v>80.065642575300004</v>
      </c>
      <c r="DC3">
        <v>4421</v>
      </c>
      <c r="DD3">
        <v>840</v>
      </c>
      <c r="DE3">
        <v>130.7787830808</v>
      </c>
      <c r="DF3">
        <v>136.74166666670001</v>
      </c>
      <c r="DH3" t="s">
        <v>1044</v>
      </c>
      <c r="DI3" t="s">
        <v>738</v>
      </c>
      <c r="DJ3" t="s">
        <v>924</v>
      </c>
      <c r="DK3">
        <v>11913</v>
      </c>
      <c r="DL3">
        <v>2339</v>
      </c>
      <c r="DM3">
        <v>80.065642575300004</v>
      </c>
      <c r="DN3">
        <v>4421</v>
      </c>
      <c r="DO3">
        <v>840</v>
      </c>
      <c r="DP3">
        <v>130.7787830808</v>
      </c>
      <c r="DQ3">
        <v>136.74166666670001</v>
      </c>
    </row>
    <row r="4" spans="2:121" x14ac:dyDescent="0.2">
      <c r="B4" t="s">
        <v>113</v>
      </c>
      <c r="C4">
        <v>74449</v>
      </c>
      <c r="D4">
        <v>55138</v>
      </c>
      <c r="F4" t="s">
        <v>80</v>
      </c>
      <c r="G4">
        <v>15849</v>
      </c>
      <c r="H4">
        <v>296.19048520410001</v>
      </c>
      <c r="I4">
        <v>21922</v>
      </c>
      <c r="J4">
        <v>5586</v>
      </c>
      <c r="K4">
        <v>19258</v>
      </c>
      <c r="L4">
        <v>12354</v>
      </c>
      <c r="M4">
        <v>3798</v>
      </c>
      <c r="N4">
        <v>1749</v>
      </c>
      <c r="O4">
        <v>10712</v>
      </c>
      <c r="P4">
        <v>6260</v>
      </c>
      <c r="Q4">
        <v>9</v>
      </c>
      <c r="R4">
        <v>246</v>
      </c>
      <c r="T4" t="s">
        <v>230</v>
      </c>
      <c r="U4">
        <v>0</v>
      </c>
      <c r="W4">
        <v>237</v>
      </c>
      <c r="X4">
        <v>101</v>
      </c>
      <c r="Y4">
        <v>456</v>
      </c>
      <c r="Z4">
        <v>319</v>
      </c>
      <c r="AA4">
        <v>224</v>
      </c>
      <c r="AB4">
        <v>219</v>
      </c>
      <c r="AC4">
        <v>204</v>
      </c>
      <c r="AD4">
        <v>156</v>
      </c>
      <c r="AE4">
        <v>18</v>
      </c>
      <c r="AF4">
        <v>0</v>
      </c>
      <c r="AH4" t="s">
        <v>431</v>
      </c>
      <c r="AI4">
        <v>1949</v>
      </c>
      <c r="AJ4">
        <v>439.34376603390001</v>
      </c>
      <c r="AK4">
        <v>1199</v>
      </c>
      <c r="AL4">
        <v>314</v>
      </c>
      <c r="AM4">
        <v>2865</v>
      </c>
      <c r="AN4">
        <v>1887</v>
      </c>
      <c r="AO4">
        <v>1548</v>
      </c>
      <c r="AP4">
        <v>1373</v>
      </c>
      <c r="AQ4">
        <v>523</v>
      </c>
      <c r="AR4">
        <v>225</v>
      </c>
      <c r="AS4">
        <v>3</v>
      </c>
      <c r="AT4">
        <v>2</v>
      </c>
      <c r="AV4" t="s">
        <v>434</v>
      </c>
      <c r="AW4">
        <v>982</v>
      </c>
      <c r="AX4">
        <v>109.5784114053</v>
      </c>
      <c r="AY4">
        <v>640</v>
      </c>
      <c r="AZ4">
        <v>120</v>
      </c>
      <c r="BA4">
        <v>1510</v>
      </c>
      <c r="BB4">
        <v>515</v>
      </c>
      <c r="BC4">
        <v>15</v>
      </c>
      <c r="BD4">
        <v>14</v>
      </c>
      <c r="BE4">
        <v>27</v>
      </c>
      <c r="BF4">
        <v>15</v>
      </c>
      <c r="BG4">
        <v>84</v>
      </c>
      <c r="BH4">
        <v>128</v>
      </c>
      <c r="BJ4" t="s">
        <v>644</v>
      </c>
      <c r="BK4" t="s">
        <v>392</v>
      </c>
      <c r="BL4">
        <v>841</v>
      </c>
      <c r="BM4">
        <v>131</v>
      </c>
      <c r="BN4">
        <v>82.335315101099994</v>
      </c>
      <c r="BO4">
        <v>496</v>
      </c>
      <c r="BP4">
        <v>92</v>
      </c>
      <c r="BQ4">
        <v>131.8588709677</v>
      </c>
      <c r="BR4">
        <v>146.61956521740001</v>
      </c>
      <c r="BS4">
        <v>918</v>
      </c>
      <c r="BT4">
        <v>178</v>
      </c>
      <c r="BU4">
        <v>86.772331154699998</v>
      </c>
      <c r="BV4">
        <v>575</v>
      </c>
      <c r="BW4">
        <v>106</v>
      </c>
      <c r="BX4">
        <v>136.19304347830001</v>
      </c>
      <c r="BY4">
        <v>139.78301886790001</v>
      </c>
      <c r="CA4" t="s">
        <v>1043</v>
      </c>
      <c r="CB4" t="s">
        <v>738</v>
      </c>
      <c r="CC4" t="s">
        <v>924</v>
      </c>
      <c r="CD4">
        <v>317877</v>
      </c>
      <c r="CE4">
        <v>69419</v>
      </c>
      <c r="CF4">
        <v>93.061268981400005</v>
      </c>
      <c r="CG4">
        <v>210534</v>
      </c>
      <c r="CH4">
        <v>37034</v>
      </c>
      <c r="CI4">
        <v>135.9917020529</v>
      </c>
      <c r="CJ4">
        <v>135.98258357189999</v>
      </c>
      <c r="CL4" t="s">
        <v>1043</v>
      </c>
      <c r="CM4" t="s">
        <v>738</v>
      </c>
      <c r="CN4" t="s">
        <v>924</v>
      </c>
      <c r="CO4">
        <v>317877</v>
      </c>
      <c r="CP4">
        <v>69419</v>
      </c>
      <c r="CQ4">
        <v>93.061268981400005</v>
      </c>
      <c r="CR4">
        <v>210534</v>
      </c>
      <c r="CS4">
        <v>37034</v>
      </c>
      <c r="CT4">
        <v>135.9917020529</v>
      </c>
      <c r="CU4">
        <v>135.98258357189999</v>
      </c>
      <c r="CW4" t="s">
        <v>1043</v>
      </c>
      <c r="CX4" t="s">
        <v>738</v>
      </c>
      <c r="CY4" t="s">
        <v>924</v>
      </c>
      <c r="CZ4">
        <v>317877</v>
      </c>
      <c r="DA4">
        <v>69419</v>
      </c>
      <c r="DB4">
        <v>93.061268981400005</v>
      </c>
      <c r="DC4">
        <v>210534</v>
      </c>
      <c r="DD4">
        <v>37034</v>
      </c>
      <c r="DE4">
        <v>135.9917020529</v>
      </c>
      <c r="DF4">
        <v>135.98258357189999</v>
      </c>
      <c r="DH4" t="s">
        <v>1043</v>
      </c>
      <c r="DI4" t="s">
        <v>738</v>
      </c>
      <c r="DJ4" t="s">
        <v>924</v>
      </c>
      <c r="DK4">
        <v>317877</v>
      </c>
      <c r="DL4">
        <v>69419</v>
      </c>
      <c r="DM4">
        <v>93.061268981400005</v>
      </c>
      <c r="DN4">
        <v>210534</v>
      </c>
      <c r="DO4">
        <v>37034</v>
      </c>
      <c r="DP4">
        <v>135.9917020529</v>
      </c>
      <c r="DQ4">
        <v>135.98258357189999</v>
      </c>
    </row>
    <row r="5" spans="2:121" x14ac:dyDescent="0.2">
      <c r="B5" t="s">
        <v>101</v>
      </c>
      <c r="C5">
        <v>113462</v>
      </c>
      <c r="D5">
        <v>89017</v>
      </c>
      <c r="F5" t="s">
        <v>54</v>
      </c>
      <c r="G5">
        <v>5044</v>
      </c>
      <c r="H5">
        <v>358.90503568600002</v>
      </c>
      <c r="I5">
        <v>3428</v>
      </c>
      <c r="J5">
        <v>579</v>
      </c>
      <c r="K5">
        <v>9217</v>
      </c>
      <c r="L5">
        <v>4641</v>
      </c>
      <c r="M5">
        <v>4431</v>
      </c>
      <c r="N5">
        <v>3882</v>
      </c>
      <c r="O5">
        <v>1071</v>
      </c>
      <c r="P5">
        <v>488</v>
      </c>
      <c r="Q5">
        <v>1</v>
      </c>
      <c r="R5">
        <v>139</v>
      </c>
      <c r="T5" t="s">
        <v>216</v>
      </c>
      <c r="U5">
        <v>12983</v>
      </c>
      <c r="V5">
        <v>105.9436956019</v>
      </c>
      <c r="W5">
        <v>17655</v>
      </c>
      <c r="X5">
        <v>3685</v>
      </c>
      <c r="Y5">
        <v>18011</v>
      </c>
      <c r="Z5">
        <v>6198</v>
      </c>
      <c r="AA5">
        <v>358</v>
      </c>
      <c r="AB5">
        <v>346</v>
      </c>
      <c r="AC5">
        <v>1101</v>
      </c>
      <c r="AD5">
        <v>340</v>
      </c>
      <c r="AE5">
        <v>2174</v>
      </c>
      <c r="AF5">
        <v>4245</v>
      </c>
      <c r="AH5" t="s">
        <v>433</v>
      </c>
      <c r="AI5">
        <v>6517</v>
      </c>
      <c r="AJ5">
        <v>306.59291084850003</v>
      </c>
      <c r="AK5">
        <v>6014</v>
      </c>
      <c r="AL5">
        <v>1249</v>
      </c>
      <c r="AM5">
        <v>9199</v>
      </c>
      <c r="AN5">
        <v>5441</v>
      </c>
      <c r="AO5">
        <v>1303</v>
      </c>
      <c r="AP5">
        <v>560</v>
      </c>
      <c r="AQ5">
        <v>3160</v>
      </c>
      <c r="AR5">
        <v>2417</v>
      </c>
      <c r="AS5">
        <v>3</v>
      </c>
      <c r="AT5">
        <v>79</v>
      </c>
      <c r="AV5" t="s">
        <v>427</v>
      </c>
      <c r="AW5">
        <v>27</v>
      </c>
      <c r="AX5">
        <v>46.370370370400003</v>
      </c>
      <c r="AY5">
        <v>48</v>
      </c>
      <c r="BA5">
        <v>40</v>
      </c>
      <c r="BB5">
        <v>1</v>
      </c>
      <c r="BC5">
        <v>0</v>
      </c>
      <c r="BE5">
        <v>1</v>
      </c>
      <c r="BG5">
        <v>88</v>
      </c>
      <c r="BH5">
        <v>3</v>
      </c>
      <c r="BJ5" t="s">
        <v>392</v>
      </c>
      <c r="BK5" t="s">
        <v>392</v>
      </c>
      <c r="BL5">
        <v>63112</v>
      </c>
      <c r="BM5">
        <v>13419</v>
      </c>
      <c r="BN5">
        <v>92.022705666099995</v>
      </c>
      <c r="BO5">
        <v>41047</v>
      </c>
      <c r="BP5">
        <v>6955</v>
      </c>
      <c r="BQ5">
        <v>142.3243111555</v>
      </c>
      <c r="BR5">
        <v>141.8267433501</v>
      </c>
      <c r="BS5">
        <v>63462</v>
      </c>
      <c r="BT5">
        <v>13827</v>
      </c>
      <c r="BU5">
        <v>92.474315338300002</v>
      </c>
      <c r="BV5">
        <v>41038</v>
      </c>
      <c r="BW5">
        <v>7047</v>
      </c>
      <c r="BX5">
        <v>141.63180466879999</v>
      </c>
      <c r="BY5">
        <v>141.0393075067</v>
      </c>
      <c r="CA5" t="s">
        <v>1045</v>
      </c>
      <c r="CB5" t="s">
        <v>738</v>
      </c>
      <c r="CC5" t="s">
        <v>924</v>
      </c>
      <c r="CD5">
        <v>26172</v>
      </c>
      <c r="CE5">
        <v>2266</v>
      </c>
      <c r="CF5">
        <v>64.723597737999995</v>
      </c>
      <c r="CG5">
        <v>28622</v>
      </c>
      <c r="CH5">
        <v>5070</v>
      </c>
      <c r="CI5">
        <v>70.697260848300004</v>
      </c>
      <c r="CJ5">
        <v>76.250493096599996</v>
      </c>
      <c r="CL5" t="s">
        <v>1045</v>
      </c>
      <c r="CM5" t="s">
        <v>738</v>
      </c>
      <c r="CN5" t="s">
        <v>924</v>
      </c>
      <c r="CO5">
        <v>26172</v>
      </c>
      <c r="CP5">
        <v>2266</v>
      </c>
      <c r="CQ5">
        <v>64.723597737999995</v>
      </c>
      <c r="CR5">
        <v>28622</v>
      </c>
      <c r="CS5">
        <v>5070</v>
      </c>
      <c r="CT5">
        <v>70.697260848300004</v>
      </c>
      <c r="CU5">
        <v>76.250493096599996</v>
      </c>
      <c r="CW5" t="s">
        <v>1045</v>
      </c>
      <c r="CX5" t="s">
        <v>738</v>
      </c>
      <c r="CY5" t="s">
        <v>924</v>
      </c>
      <c r="CZ5">
        <v>26172</v>
      </c>
      <c r="DA5">
        <v>2266</v>
      </c>
      <c r="DB5">
        <v>64.723597737999995</v>
      </c>
      <c r="DC5">
        <v>28622</v>
      </c>
      <c r="DD5">
        <v>5070</v>
      </c>
      <c r="DE5">
        <v>70.697260848300004</v>
      </c>
      <c r="DF5">
        <v>76.250493096599996</v>
      </c>
      <c r="DH5" t="s">
        <v>1045</v>
      </c>
      <c r="DI5" t="s">
        <v>738</v>
      </c>
      <c r="DJ5" t="s">
        <v>924</v>
      </c>
      <c r="DK5">
        <v>26172</v>
      </c>
      <c r="DL5">
        <v>2266</v>
      </c>
      <c r="DM5">
        <v>64.723597737999995</v>
      </c>
      <c r="DN5">
        <v>28622</v>
      </c>
      <c r="DO5">
        <v>5070</v>
      </c>
      <c r="DP5">
        <v>70.697260848300004</v>
      </c>
      <c r="DQ5">
        <v>76.250493096599996</v>
      </c>
    </row>
    <row r="6" spans="2:121" x14ac:dyDescent="0.2">
      <c r="B6" t="s">
        <v>93</v>
      </c>
      <c r="C6">
        <v>7957</v>
      </c>
      <c r="D6">
        <v>1304</v>
      </c>
      <c r="F6" t="s">
        <v>187</v>
      </c>
      <c r="G6">
        <v>631</v>
      </c>
      <c r="H6">
        <v>175.06022186999999</v>
      </c>
      <c r="I6">
        <v>669</v>
      </c>
      <c r="J6">
        <v>65</v>
      </c>
      <c r="K6">
        <v>856</v>
      </c>
      <c r="L6">
        <v>345</v>
      </c>
      <c r="M6">
        <v>451</v>
      </c>
      <c r="N6">
        <v>146</v>
      </c>
      <c r="O6">
        <v>117</v>
      </c>
      <c r="P6">
        <v>43</v>
      </c>
      <c r="Q6">
        <v>0</v>
      </c>
      <c r="R6">
        <v>2</v>
      </c>
      <c r="T6" t="s">
        <v>218</v>
      </c>
      <c r="U6">
        <v>2140</v>
      </c>
      <c r="V6">
        <v>38.657009345799999</v>
      </c>
      <c r="W6">
        <v>6711</v>
      </c>
      <c r="X6">
        <v>220</v>
      </c>
      <c r="Y6">
        <v>3423</v>
      </c>
      <c r="Z6">
        <v>25</v>
      </c>
      <c r="AA6">
        <v>27</v>
      </c>
      <c r="AB6">
        <v>3</v>
      </c>
      <c r="AC6">
        <v>142</v>
      </c>
      <c r="AD6">
        <v>28</v>
      </c>
      <c r="AE6">
        <v>5811</v>
      </c>
      <c r="AF6">
        <v>726</v>
      </c>
      <c r="AH6" t="s">
        <v>418</v>
      </c>
      <c r="AI6">
        <v>5391</v>
      </c>
      <c r="AJ6">
        <v>366.54590984970002</v>
      </c>
      <c r="AK6">
        <v>3707</v>
      </c>
      <c r="AL6">
        <v>630</v>
      </c>
      <c r="AM6">
        <v>7089</v>
      </c>
      <c r="AN6">
        <v>4803</v>
      </c>
      <c r="AO6">
        <v>1935</v>
      </c>
      <c r="AP6">
        <v>1510</v>
      </c>
      <c r="AQ6">
        <v>1752</v>
      </c>
      <c r="AR6">
        <v>738</v>
      </c>
      <c r="AS6">
        <v>322</v>
      </c>
      <c r="AT6">
        <v>136</v>
      </c>
      <c r="AV6" t="s">
        <v>407</v>
      </c>
      <c r="AW6">
        <v>26</v>
      </c>
      <c r="AX6">
        <v>50.884615384600004</v>
      </c>
      <c r="AY6">
        <v>75</v>
      </c>
      <c r="AZ6">
        <v>4</v>
      </c>
      <c r="BA6">
        <v>53</v>
      </c>
      <c r="BB6">
        <v>2</v>
      </c>
      <c r="BC6">
        <v>0</v>
      </c>
      <c r="BE6">
        <v>2</v>
      </c>
      <c r="BF6">
        <v>1</v>
      </c>
      <c r="BG6">
        <v>181</v>
      </c>
      <c r="BH6">
        <v>8</v>
      </c>
      <c r="BJ6" t="s">
        <v>591</v>
      </c>
      <c r="BK6" t="s">
        <v>392</v>
      </c>
      <c r="BL6">
        <v>6811</v>
      </c>
      <c r="BM6">
        <v>1691</v>
      </c>
      <c r="BN6">
        <v>100.7816766995</v>
      </c>
      <c r="BO6">
        <v>3607</v>
      </c>
      <c r="BP6">
        <v>617</v>
      </c>
      <c r="BQ6">
        <v>159.9681175492</v>
      </c>
      <c r="BR6">
        <v>179.11831442459999</v>
      </c>
      <c r="BS6">
        <v>6592</v>
      </c>
      <c r="BT6">
        <v>1710</v>
      </c>
      <c r="BU6">
        <v>101.35103155340001</v>
      </c>
      <c r="BV6">
        <v>3566</v>
      </c>
      <c r="BW6">
        <v>603</v>
      </c>
      <c r="BX6">
        <v>155.2277061133</v>
      </c>
      <c r="BY6">
        <v>177.9966832504</v>
      </c>
      <c r="CA6" t="s">
        <v>1046</v>
      </c>
      <c r="CB6" t="s">
        <v>738</v>
      </c>
      <c r="CC6" t="s">
        <v>924</v>
      </c>
      <c r="CD6">
        <v>10722</v>
      </c>
      <c r="CE6">
        <v>1972</v>
      </c>
      <c r="CF6">
        <v>80.201641484800007</v>
      </c>
      <c r="CG6">
        <v>3751</v>
      </c>
      <c r="CH6">
        <v>745</v>
      </c>
      <c r="CI6">
        <v>137.26952812580001</v>
      </c>
      <c r="CJ6">
        <v>143.43221476510001</v>
      </c>
      <c r="CL6" t="s">
        <v>1046</v>
      </c>
      <c r="CM6" t="s">
        <v>738</v>
      </c>
      <c r="CN6" t="s">
        <v>924</v>
      </c>
      <c r="CO6">
        <v>10722</v>
      </c>
      <c r="CP6">
        <v>1972</v>
      </c>
      <c r="CQ6">
        <v>80.201641484800007</v>
      </c>
      <c r="CR6">
        <v>3751</v>
      </c>
      <c r="CS6">
        <v>745</v>
      </c>
      <c r="CT6">
        <v>137.26952812580001</v>
      </c>
      <c r="CU6">
        <v>143.43221476510001</v>
      </c>
      <c r="CW6" t="s">
        <v>1046</v>
      </c>
      <c r="CX6" t="s">
        <v>738</v>
      </c>
      <c r="CY6" t="s">
        <v>924</v>
      </c>
      <c r="CZ6">
        <v>10722</v>
      </c>
      <c r="DA6">
        <v>1972</v>
      </c>
      <c r="DB6">
        <v>80.201641484800007</v>
      </c>
      <c r="DC6">
        <v>3751</v>
      </c>
      <c r="DD6">
        <v>745</v>
      </c>
      <c r="DE6">
        <v>137.26952812580001</v>
      </c>
      <c r="DF6">
        <v>143.43221476510001</v>
      </c>
      <c r="DH6" t="s">
        <v>1046</v>
      </c>
      <c r="DI6" t="s">
        <v>738</v>
      </c>
      <c r="DJ6" t="s">
        <v>924</v>
      </c>
      <c r="DK6">
        <v>10722</v>
      </c>
      <c r="DL6">
        <v>1972</v>
      </c>
      <c r="DM6">
        <v>80.201641484800007</v>
      </c>
      <c r="DN6">
        <v>3751</v>
      </c>
      <c r="DO6">
        <v>745</v>
      </c>
      <c r="DP6">
        <v>137.26952812580001</v>
      </c>
      <c r="DQ6">
        <v>143.43221476510001</v>
      </c>
    </row>
    <row r="7" spans="2:121" x14ac:dyDescent="0.2">
      <c r="B7" t="s">
        <v>94</v>
      </c>
      <c r="C7">
        <v>526</v>
      </c>
      <c r="D7">
        <v>134</v>
      </c>
      <c r="F7" t="s">
        <v>27</v>
      </c>
      <c r="G7">
        <v>1400</v>
      </c>
      <c r="H7">
        <v>95.545000000000002</v>
      </c>
      <c r="I7">
        <v>6241</v>
      </c>
      <c r="J7">
        <v>973</v>
      </c>
      <c r="K7">
        <v>8663</v>
      </c>
      <c r="L7">
        <v>3093</v>
      </c>
      <c r="M7">
        <v>1785</v>
      </c>
      <c r="N7">
        <v>531</v>
      </c>
      <c r="O7">
        <v>1012</v>
      </c>
      <c r="P7">
        <v>486</v>
      </c>
      <c r="Q7">
        <v>0</v>
      </c>
      <c r="R7">
        <v>60</v>
      </c>
      <c r="T7" t="s">
        <v>469</v>
      </c>
      <c r="U7">
        <v>18103</v>
      </c>
      <c r="V7">
        <v>89.378335082600003</v>
      </c>
      <c r="W7">
        <v>32932</v>
      </c>
      <c r="X7">
        <v>4662</v>
      </c>
      <c r="Y7">
        <v>26946</v>
      </c>
      <c r="Z7">
        <v>6762</v>
      </c>
      <c r="AA7">
        <v>612</v>
      </c>
      <c r="AB7">
        <v>571</v>
      </c>
      <c r="AC7">
        <v>1906</v>
      </c>
      <c r="AD7">
        <v>591</v>
      </c>
      <c r="AE7">
        <v>9009</v>
      </c>
      <c r="AF7">
        <v>5744</v>
      </c>
      <c r="AH7" t="s">
        <v>414</v>
      </c>
      <c r="AI7">
        <v>28743</v>
      </c>
      <c r="AJ7">
        <v>372.44515186310002</v>
      </c>
      <c r="AK7">
        <v>31264</v>
      </c>
      <c r="AL7">
        <v>6114</v>
      </c>
      <c r="AM7">
        <v>42700</v>
      </c>
      <c r="AN7">
        <v>28064</v>
      </c>
      <c r="AO7">
        <v>9466</v>
      </c>
      <c r="AP7">
        <v>6095</v>
      </c>
      <c r="AQ7">
        <v>11885</v>
      </c>
      <c r="AR7">
        <v>7848</v>
      </c>
      <c r="AS7">
        <v>50</v>
      </c>
      <c r="AT7">
        <v>131</v>
      </c>
      <c r="AV7" t="s">
        <v>395</v>
      </c>
      <c r="AW7">
        <v>392</v>
      </c>
      <c r="AX7">
        <v>51.887755102</v>
      </c>
      <c r="AY7">
        <v>952</v>
      </c>
      <c r="AZ7">
        <v>64</v>
      </c>
      <c r="BA7">
        <v>615</v>
      </c>
      <c r="BB7">
        <v>36</v>
      </c>
      <c r="BC7">
        <v>4</v>
      </c>
      <c r="BD7">
        <v>3</v>
      </c>
      <c r="BE7">
        <v>62</v>
      </c>
      <c r="BF7">
        <v>12</v>
      </c>
      <c r="BG7">
        <v>123</v>
      </c>
      <c r="BH7">
        <v>102</v>
      </c>
      <c r="BJ7" t="s">
        <v>638</v>
      </c>
      <c r="BK7" t="s">
        <v>392</v>
      </c>
      <c r="BL7">
        <v>702</v>
      </c>
      <c r="BM7">
        <v>64</v>
      </c>
      <c r="BN7">
        <v>62.217948717900001</v>
      </c>
      <c r="BO7">
        <v>855</v>
      </c>
      <c r="BP7">
        <v>101</v>
      </c>
      <c r="BQ7">
        <v>88</v>
      </c>
      <c r="BR7">
        <v>75.891089108900005</v>
      </c>
      <c r="BS7">
        <v>1380</v>
      </c>
      <c r="BT7">
        <v>300</v>
      </c>
      <c r="BU7">
        <v>92.284782608699999</v>
      </c>
      <c r="BV7">
        <v>1233</v>
      </c>
      <c r="BW7">
        <v>184</v>
      </c>
      <c r="BX7">
        <v>125.0867802109</v>
      </c>
      <c r="BY7">
        <v>118.2663043478</v>
      </c>
      <c r="CA7" t="s">
        <v>418</v>
      </c>
      <c r="CB7" t="s">
        <v>774</v>
      </c>
      <c r="CC7" t="s">
        <v>1001</v>
      </c>
      <c r="CD7">
        <v>3868</v>
      </c>
      <c r="CE7">
        <v>622</v>
      </c>
      <c r="CF7">
        <v>80.396328852099998</v>
      </c>
      <c r="CG7">
        <v>2571</v>
      </c>
      <c r="CH7">
        <v>451</v>
      </c>
      <c r="CI7">
        <v>122.5445352003</v>
      </c>
      <c r="CJ7">
        <v>140.06430155210001</v>
      </c>
      <c r="CL7" t="s">
        <v>418</v>
      </c>
      <c r="CM7" t="s">
        <v>755</v>
      </c>
      <c r="CN7" t="s">
        <v>754</v>
      </c>
      <c r="CO7">
        <v>349</v>
      </c>
      <c r="CP7">
        <v>25</v>
      </c>
      <c r="CQ7">
        <v>59.424068767900003</v>
      </c>
      <c r="CR7">
        <v>341</v>
      </c>
      <c r="CS7">
        <v>67</v>
      </c>
      <c r="CT7">
        <v>57.750733137799998</v>
      </c>
      <c r="CU7">
        <v>60.223880596999997</v>
      </c>
      <c r="CW7" t="s">
        <v>418</v>
      </c>
      <c r="CX7" t="s">
        <v>765</v>
      </c>
      <c r="CY7" t="s">
        <v>764</v>
      </c>
      <c r="CZ7">
        <v>61</v>
      </c>
      <c r="DA7">
        <v>7</v>
      </c>
      <c r="DB7">
        <v>67.508196721299996</v>
      </c>
      <c r="DC7">
        <v>18</v>
      </c>
      <c r="DD7">
        <v>4</v>
      </c>
      <c r="DE7">
        <v>139.5</v>
      </c>
      <c r="DF7">
        <v>122.75</v>
      </c>
      <c r="DH7" t="s">
        <v>418</v>
      </c>
      <c r="DI7" t="s">
        <v>745</v>
      </c>
      <c r="DJ7" t="s">
        <v>744</v>
      </c>
      <c r="DK7">
        <v>43</v>
      </c>
      <c r="DL7">
        <v>3</v>
      </c>
      <c r="DM7">
        <v>69.395348837200004</v>
      </c>
      <c r="DN7">
        <v>21</v>
      </c>
      <c r="DO7">
        <v>1</v>
      </c>
      <c r="DP7">
        <v>134.76190476190001</v>
      </c>
      <c r="DQ7">
        <v>71</v>
      </c>
    </row>
    <row r="8" spans="2:121" x14ac:dyDescent="0.2">
      <c r="B8" t="s">
        <v>103</v>
      </c>
      <c r="C8">
        <v>292</v>
      </c>
      <c r="D8">
        <v>190</v>
      </c>
      <c r="F8" t="s">
        <v>61</v>
      </c>
      <c r="G8">
        <v>4956</v>
      </c>
      <c r="H8">
        <v>234.32203389829999</v>
      </c>
      <c r="I8">
        <v>9768</v>
      </c>
      <c r="J8">
        <v>1969</v>
      </c>
      <c r="K8">
        <v>8448</v>
      </c>
      <c r="L8">
        <v>4185</v>
      </c>
      <c r="M8">
        <v>2564</v>
      </c>
      <c r="N8">
        <v>1678</v>
      </c>
      <c r="O8">
        <v>1384</v>
      </c>
      <c r="P8">
        <v>1055</v>
      </c>
      <c r="Q8">
        <v>2</v>
      </c>
      <c r="R8">
        <v>244</v>
      </c>
      <c r="AH8" t="s">
        <v>410</v>
      </c>
      <c r="AI8">
        <v>7014</v>
      </c>
      <c r="AJ8">
        <v>380.30325064160002</v>
      </c>
      <c r="AK8">
        <v>7327</v>
      </c>
      <c r="AL8">
        <v>1788</v>
      </c>
      <c r="AM8">
        <v>10395</v>
      </c>
      <c r="AN8">
        <v>6632</v>
      </c>
      <c r="AO8">
        <v>2517</v>
      </c>
      <c r="AP8">
        <v>1724</v>
      </c>
      <c r="AQ8">
        <v>1466</v>
      </c>
      <c r="AR8">
        <v>695</v>
      </c>
      <c r="AS8">
        <v>11</v>
      </c>
      <c r="AT8">
        <v>63</v>
      </c>
      <c r="AV8" t="s">
        <v>416</v>
      </c>
      <c r="AW8">
        <v>96</v>
      </c>
      <c r="AX8">
        <v>42.947916666700003</v>
      </c>
      <c r="AY8">
        <v>257</v>
      </c>
      <c r="AZ8">
        <v>12</v>
      </c>
      <c r="BA8">
        <v>152</v>
      </c>
      <c r="BB8">
        <v>8</v>
      </c>
      <c r="BC8">
        <v>1</v>
      </c>
      <c r="BD8">
        <v>1</v>
      </c>
      <c r="BE8">
        <v>10</v>
      </c>
      <c r="BF8">
        <v>4</v>
      </c>
      <c r="BG8">
        <v>269</v>
      </c>
      <c r="BH8">
        <v>38</v>
      </c>
      <c r="BJ8" t="s">
        <v>626</v>
      </c>
      <c r="BK8" t="s">
        <v>392</v>
      </c>
      <c r="BL8">
        <v>15452</v>
      </c>
      <c r="BM8">
        <v>4042</v>
      </c>
      <c r="BN8">
        <v>101.67240486670001</v>
      </c>
      <c r="BO8">
        <v>11528</v>
      </c>
      <c r="BP8">
        <v>1778</v>
      </c>
      <c r="BQ8">
        <v>146.11806037470001</v>
      </c>
      <c r="BR8">
        <v>146.04218222719999</v>
      </c>
      <c r="BS8">
        <v>11822</v>
      </c>
      <c r="BT8">
        <v>2448</v>
      </c>
      <c r="BU8">
        <v>89.503891050600004</v>
      </c>
      <c r="BV8">
        <v>7367</v>
      </c>
      <c r="BW8">
        <v>1199</v>
      </c>
      <c r="BX8">
        <v>137.00936609199999</v>
      </c>
      <c r="BY8">
        <v>134.4745621351</v>
      </c>
      <c r="CA8" t="s">
        <v>410</v>
      </c>
      <c r="CB8" t="s">
        <v>774</v>
      </c>
      <c r="CC8" t="s">
        <v>1002</v>
      </c>
      <c r="CD8">
        <v>6949</v>
      </c>
      <c r="CE8">
        <v>1713</v>
      </c>
      <c r="CF8">
        <v>99.731616059900006</v>
      </c>
      <c r="CG8">
        <v>4019</v>
      </c>
      <c r="CH8">
        <v>688</v>
      </c>
      <c r="CI8">
        <v>147.3806917144</v>
      </c>
      <c r="CJ8">
        <v>162.8953488372</v>
      </c>
      <c r="CL8" t="s">
        <v>410</v>
      </c>
      <c r="CM8" t="s">
        <v>755</v>
      </c>
      <c r="CN8" t="s">
        <v>756</v>
      </c>
      <c r="CO8">
        <v>251</v>
      </c>
      <c r="CP8">
        <v>20</v>
      </c>
      <c r="CQ8">
        <v>64.035856573700002</v>
      </c>
      <c r="CR8">
        <v>412</v>
      </c>
      <c r="CS8">
        <v>78</v>
      </c>
      <c r="CT8">
        <v>61.927184466</v>
      </c>
      <c r="CU8">
        <v>69.666666666699996</v>
      </c>
      <c r="CW8" t="s">
        <v>410</v>
      </c>
      <c r="CX8" t="s">
        <v>765</v>
      </c>
      <c r="CY8" t="s">
        <v>766</v>
      </c>
      <c r="CZ8">
        <v>316</v>
      </c>
      <c r="DA8">
        <v>48</v>
      </c>
      <c r="DB8">
        <v>76.424050632900006</v>
      </c>
      <c r="DC8">
        <v>100</v>
      </c>
      <c r="DD8">
        <v>20</v>
      </c>
      <c r="DE8">
        <v>134.06</v>
      </c>
      <c r="DF8">
        <v>145.69999999999999</v>
      </c>
      <c r="DH8" t="s">
        <v>410</v>
      </c>
      <c r="DI8" t="s">
        <v>745</v>
      </c>
      <c r="DJ8" t="s">
        <v>746</v>
      </c>
      <c r="DK8">
        <v>477</v>
      </c>
      <c r="DL8">
        <v>45</v>
      </c>
      <c r="DM8">
        <v>67.641509434</v>
      </c>
      <c r="DN8">
        <v>168</v>
      </c>
      <c r="DO8">
        <v>33</v>
      </c>
      <c r="DP8">
        <v>121.2321428571</v>
      </c>
      <c r="DQ8">
        <v>130.1818181818</v>
      </c>
    </row>
    <row r="9" spans="2:121" x14ac:dyDescent="0.2">
      <c r="B9" t="s">
        <v>95</v>
      </c>
      <c r="C9">
        <v>10</v>
      </c>
      <c r="D9">
        <v>4</v>
      </c>
      <c r="F9" t="s">
        <v>62</v>
      </c>
      <c r="G9">
        <v>4909</v>
      </c>
      <c r="H9">
        <v>439.63780810759999</v>
      </c>
      <c r="I9">
        <v>5746</v>
      </c>
      <c r="J9">
        <v>1014</v>
      </c>
      <c r="K9">
        <v>6199</v>
      </c>
      <c r="L9">
        <v>4411</v>
      </c>
      <c r="M9">
        <v>770</v>
      </c>
      <c r="N9">
        <v>449</v>
      </c>
      <c r="O9">
        <v>1109</v>
      </c>
      <c r="P9">
        <v>618</v>
      </c>
      <c r="Q9">
        <v>1</v>
      </c>
      <c r="R9">
        <v>252</v>
      </c>
      <c r="AH9" t="s">
        <v>380</v>
      </c>
      <c r="AI9">
        <v>1571</v>
      </c>
      <c r="AJ9">
        <v>309.10502864419999</v>
      </c>
      <c r="AK9">
        <v>1955</v>
      </c>
      <c r="AL9">
        <v>372</v>
      </c>
      <c r="AM9">
        <v>3252</v>
      </c>
      <c r="AN9">
        <v>2049</v>
      </c>
      <c r="AO9">
        <v>532</v>
      </c>
      <c r="AP9">
        <v>287</v>
      </c>
      <c r="AQ9">
        <v>938</v>
      </c>
      <c r="AR9">
        <v>630</v>
      </c>
      <c r="AS9">
        <v>304</v>
      </c>
      <c r="AT9">
        <v>4</v>
      </c>
      <c r="AV9" t="s">
        <v>424</v>
      </c>
      <c r="AW9">
        <v>33</v>
      </c>
      <c r="AX9">
        <v>105.06060606059999</v>
      </c>
      <c r="AY9">
        <v>48</v>
      </c>
      <c r="AZ9">
        <v>9</v>
      </c>
      <c r="BA9">
        <v>41</v>
      </c>
      <c r="BB9">
        <v>10</v>
      </c>
      <c r="BC9">
        <v>1</v>
      </c>
      <c r="BD9">
        <v>1</v>
      </c>
      <c r="BE9">
        <v>6</v>
      </c>
      <c r="BF9">
        <v>3</v>
      </c>
      <c r="BG9">
        <v>11</v>
      </c>
      <c r="BH9">
        <v>9</v>
      </c>
      <c r="BJ9" t="s">
        <v>562</v>
      </c>
      <c r="BK9" t="s">
        <v>392</v>
      </c>
      <c r="BL9">
        <v>4096</v>
      </c>
      <c r="BM9">
        <v>1096</v>
      </c>
      <c r="BN9">
        <v>105.4851074219</v>
      </c>
      <c r="BO9">
        <v>1931</v>
      </c>
      <c r="BP9">
        <v>397</v>
      </c>
      <c r="BQ9">
        <v>150.58829621960001</v>
      </c>
      <c r="BR9">
        <v>158.42569269520001</v>
      </c>
      <c r="BS9">
        <v>4693</v>
      </c>
      <c r="BT9">
        <v>1630</v>
      </c>
      <c r="BU9">
        <v>124.6202855316</v>
      </c>
      <c r="BV9">
        <v>2789</v>
      </c>
      <c r="BW9">
        <v>454</v>
      </c>
      <c r="BX9">
        <v>145.4241663679</v>
      </c>
      <c r="BY9">
        <v>168.5572687225</v>
      </c>
      <c r="CA9" t="s">
        <v>394</v>
      </c>
      <c r="CB9" t="s">
        <v>774</v>
      </c>
      <c r="CC9" t="s">
        <v>1003</v>
      </c>
      <c r="CD9">
        <v>5833</v>
      </c>
      <c r="CE9">
        <v>1045</v>
      </c>
      <c r="CF9">
        <v>85.573289902300004</v>
      </c>
      <c r="CG9">
        <v>4090</v>
      </c>
      <c r="CH9">
        <v>594</v>
      </c>
      <c r="CI9">
        <v>130.5476772616</v>
      </c>
      <c r="CJ9">
        <v>130.12626262629999</v>
      </c>
      <c r="CL9" t="s">
        <v>394</v>
      </c>
      <c r="CM9" t="s">
        <v>755</v>
      </c>
      <c r="CN9" t="s">
        <v>757</v>
      </c>
      <c r="CO9">
        <v>450</v>
      </c>
      <c r="CP9">
        <v>39</v>
      </c>
      <c r="CQ9">
        <v>63.795555555599996</v>
      </c>
      <c r="CR9">
        <v>530</v>
      </c>
      <c r="CS9">
        <v>114</v>
      </c>
      <c r="CT9">
        <v>62.260377358500001</v>
      </c>
      <c r="CU9">
        <v>70.868421052599999</v>
      </c>
      <c r="CW9" t="s">
        <v>394</v>
      </c>
      <c r="CX9" t="s">
        <v>765</v>
      </c>
      <c r="CY9" t="s">
        <v>767</v>
      </c>
      <c r="CZ9">
        <v>82</v>
      </c>
      <c r="DA9">
        <v>17</v>
      </c>
      <c r="DB9">
        <v>80.451219512199998</v>
      </c>
      <c r="DC9">
        <v>21</v>
      </c>
      <c r="DD9">
        <v>7</v>
      </c>
      <c r="DE9">
        <v>141.95238095240001</v>
      </c>
      <c r="DF9">
        <v>203.57142857139999</v>
      </c>
      <c r="DH9" t="s">
        <v>394</v>
      </c>
      <c r="DI9" t="s">
        <v>745</v>
      </c>
      <c r="DJ9" t="s">
        <v>747</v>
      </c>
      <c r="DK9">
        <v>180</v>
      </c>
      <c r="DL9">
        <v>19</v>
      </c>
      <c r="DM9">
        <v>69.5222222222</v>
      </c>
      <c r="DN9">
        <v>60</v>
      </c>
      <c r="DO9">
        <v>10</v>
      </c>
      <c r="DP9">
        <v>99.15</v>
      </c>
      <c r="DQ9">
        <v>128.69999999999999</v>
      </c>
    </row>
    <row r="10" spans="2:121" x14ac:dyDescent="0.2">
      <c r="B10" t="s">
        <v>320</v>
      </c>
      <c r="C10">
        <v>1</v>
      </c>
      <c r="F10" t="s">
        <v>24</v>
      </c>
      <c r="G10">
        <v>1598</v>
      </c>
      <c r="H10">
        <v>172.81414267829999</v>
      </c>
      <c r="I10">
        <v>3767</v>
      </c>
      <c r="J10">
        <v>787</v>
      </c>
      <c r="K10">
        <v>2598</v>
      </c>
      <c r="L10">
        <v>1104</v>
      </c>
      <c r="M10">
        <v>389</v>
      </c>
      <c r="N10">
        <v>106</v>
      </c>
      <c r="O10">
        <v>367</v>
      </c>
      <c r="P10">
        <v>228</v>
      </c>
      <c r="Q10">
        <v>0</v>
      </c>
      <c r="R10">
        <v>0</v>
      </c>
      <c r="AH10" t="s">
        <v>430</v>
      </c>
      <c r="AI10">
        <v>850</v>
      </c>
      <c r="AJ10">
        <v>400.4976470588</v>
      </c>
      <c r="AK10">
        <v>898</v>
      </c>
      <c r="AL10">
        <v>263</v>
      </c>
      <c r="AM10">
        <v>1146</v>
      </c>
      <c r="AN10">
        <v>793</v>
      </c>
      <c r="AO10">
        <v>205</v>
      </c>
      <c r="AP10">
        <v>119</v>
      </c>
      <c r="AQ10">
        <v>334</v>
      </c>
      <c r="AR10">
        <v>179</v>
      </c>
      <c r="AS10">
        <v>74</v>
      </c>
      <c r="AT10">
        <v>1</v>
      </c>
      <c r="AV10" t="s">
        <v>378</v>
      </c>
      <c r="AW10">
        <v>374</v>
      </c>
      <c r="AX10">
        <v>100.949197861</v>
      </c>
      <c r="AY10">
        <v>628</v>
      </c>
      <c r="AZ10">
        <v>133</v>
      </c>
      <c r="BA10">
        <v>526</v>
      </c>
      <c r="BB10">
        <v>183</v>
      </c>
      <c r="BC10">
        <v>10</v>
      </c>
      <c r="BD10">
        <v>10</v>
      </c>
      <c r="BE10">
        <v>47</v>
      </c>
      <c r="BF10">
        <v>18</v>
      </c>
      <c r="BG10">
        <v>63</v>
      </c>
      <c r="BH10">
        <v>177</v>
      </c>
      <c r="BJ10" t="s">
        <v>614</v>
      </c>
      <c r="BK10" t="s">
        <v>392</v>
      </c>
      <c r="BL10">
        <v>3826</v>
      </c>
      <c r="BM10">
        <v>600</v>
      </c>
      <c r="BN10">
        <v>79.3870883429</v>
      </c>
      <c r="BO10">
        <v>2476</v>
      </c>
      <c r="BP10">
        <v>427</v>
      </c>
      <c r="BQ10">
        <v>124.7419224556</v>
      </c>
      <c r="BR10">
        <v>142.84074941450001</v>
      </c>
      <c r="BS10">
        <v>4171</v>
      </c>
      <c r="BT10">
        <v>937</v>
      </c>
      <c r="BU10">
        <v>89.354351474500007</v>
      </c>
      <c r="BV10">
        <v>2969</v>
      </c>
      <c r="BW10">
        <v>525</v>
      </c>
      <c r="BX10">
        <v>134.83024587400001</v>
      </c>
      <c r="BY10">
        <v>154.15428571429999</v>
      </c>
      <c r="CA10" t="s">
        <v>396</v>
      </c>
      <c r="CB10" t="s">
        <v>774</v>
      </c>
      <c r="CC10" t="s">
        <v>1004</v>
      </c>
      <c r="CD10">
        <v>4253</v>
      </c>
      <c r="CE10">
        <v>1126</v>
      </c>
      <c r="CF10">
        <v>104.9508582177</v>
      </c>
      <c r="CG10">
        <v>2116</v>
      </c>
      <c r="CH10">
        <v>413</v>
      </c>
      <c r="CI10">
        <v>145.33790170130001</v>
      </c>
      <c r="CJ10">
        <v>152.72154963680001</v>
      </c>
      <c r="CL10" t="s">
        <v>396</v>
      </c>
      <c r="CM10" t="s">
        <v>755</v>
      </c>
      <c r="CN10" t="s">
        <v>758</v>
      </c>
      <c r="CO10">
        <v>374</v>
      </c>
      <c r="CP10">
        <v>40</v>
      </c>
      <c r="CQ10">
        <v>66.729946524100001</v>
      </c>
      <c r="CR10">
        <v>355</v>
      </c>
      <c r="CS10">
        <v>55</v>
      </c>
      <c r="CT10">
        <v>67.954929577499996</v>
      </c>
      <c r="CU10">
        <v>71.7636363636</v>
      </c>
      <c r="CW10" t="s">
        <v>396</v>
      </c>
      <c r="CX10" t="s">
        <v>765</v>
      </c>
      <c r="CY10" t="s">
        <v>768</v>
      </c>
      <c r="CZ10">
        <v>85</v>
      </c>
      <c r="DA10">
        <v>26</v>
      </c>
      <c r="DB10">
        <v>93.1647058824</v>
      </c>
      <c r="DC10">
        <v>34</v>
      </c>
      <c r="DD10">
        <v>5</v>
      </c>
      <c r="DE10">
        <v>139.6470588235</v>
      </c>
      <c r="DF10">
        <v>153.19999999999999</v>
      </c>
      <c r="DH10" t="s">
        <v>396</v>
      </c>
      <c r="DI10" t="s">
        <v>745</v>
      </c>
      <c r="DJ10" t="s">
        <v>748</v>
      </c>
      <c r="DK10">
        <v>89</v>
      </c>
      <c r="DL10">
        <v>18</v>
      </c>
      <c r="DM10">
        <v>83.640449438199994</v>
      </c>
      <c r="DN10">
        <v>29</v>
      </c>
      <c r="DO10">
        <v>2</v>
      </c>
      <c r="DP10">
        <v>145.82758620690001</v>
      </c>
      <c r="DQ10">
        <v>113</v>
      </c>
    </row>
    <row r="11" spans="2:121" x14ac:dyDescent="0.2">
      <c r="B11" t="s">
        <v>117</v>
      </c>
      <c r="C11">
        <v>7937</v>
      </c>
      <c r="D11">
        <v>309</v>
      </c>
      <c r="F11" t="s">
        <v>60</v>
      </c>
      <c r="G11">
        <v>12592</v>
      </c>
      <c r="H11">
        <v>369.80638500639998</v>
      </c>
      <c r="I11">
        <v>7435</v>
      </c>
      <c r="J11">
        <v>1245</v>
      </c>
      <c r="K11">
        <v>14086</v>
      </c>
      <c r="L11">
        <v>10252</v>
      </c>
      <c r="M11">
        <v>4594</v>
      </c>
      <c r="N11">
        <v>3700</v>
      </c>
      <c r="O11">
        <v>1750</v>
      </c>
      <c r="P11">
        <v>1296</v>
      </c>
      <c r="Q11">
        <v>0</v>
      </c>
      <c r="R11">
        <v>352</v>
      </c>
      <c r="AH11" t="s">
        <v>421</v>
      </c>
      <c r="AI11">
        <v>486</v>
      </c>
      <c r="AJ11">
        <v>526.34567901230002</v>
      </c>
      <c r="AK11">
        <v>445</v>
      </c>
      <c r="AL11">
        <v>102</v>
      </c>
      <c r="AM11">
        <v>676</v>
      </c>
      <c r="AN11">
        <v>487</v>
      </c>
      <c r="AO11">
        <v>182</v>
      </c>
      <c r="AP11">
        <v>132</v>
      </c>
      <c r="AQ11">
        <v>318</v>
      </c>
      <c r="AR11">
        <v>243</v>
      </c>
      <c r="AS11">
        <v>22</v>
      </c>
      <c r="AT11">
        <v>0</v>
      </c>
      <c r="AV11" t="s">
        <v>432</v>
      </c>
      <c r="AW11">
        <v>2482</v>
      </c>
      <c r="AX11">
        <v>104.41418211120001</v>
      </c>
      <c r="AY11">
        <v>3599</v>
      </c>
      <c r="AZ11">
        <v>734</v>
      </c>
      <c r="BA11">
        <v>3428</v>
      </c>
      <c r="BB11">
        <v>1180</v>
      </c>
      <c r="BC11">
        <v>87</v>
      </c>
      <c r="BD11">
        <v>84</v>
      </c>
      <c r="BE11">
        <v>214</v>
      </c>
      <c r="BF11">
        <v>71</v>
      </c>
      <c r="BG11">
        <v>440</v>
      </c>
      <c r="BH11">
        <v>769</v>
      </c>
      <c r="BJ11" t="s">
        <v>616</v>
      </c>
      <c r="BK11" t="s">
        <v>392</v>
      </c>
      <c r="BL11">
        <v>6100</v>
      </c>
      <c r="BM11">
        <v>930</v>
      </c>
      <c r="BN11">
        <v>79.368196721299995</v>
      </c>
      <c r="BO11">
        <v>4810</v>
      </c>
      <c r="BP11">
        <v>940</v>
      </c>
      <c r="BQ11">
        <v>145.67401247399999</v>
      </c>
      <c r="BR11">
        <v>117.3478723404</v>
      </c>
      <c r="BS11">
        <v>8123</v>
      </c>
      <c r="BT11">
        <v>1865</v>
      </c>
      <c r="BU11">
        <v>92.767942878200003</v>
      </c>
      <c r="BV11">
        <v>7293</v>
      </c>
      <c r="BW11">
        <v>1304</v>
      </c>
      <c r="BX11">
        <v>145.3485534074</v>
      </c>
      <c r="BY11">
        <v>126.2998466258</v>
      </c>
      <c r="CA11" t="s">
        <v>425</v>
      </c>
      <c r="CB11" t="s">
        <v>774</v>
      </c>
      <c r="CC11" t="s">
        <v>1005</v>
      </c>
      <c r="CD11">
        <v>745</v>
      </c>
      <c r="CE11">
        <v>80</v>
      </c>
      <c r="CF11">
        <v>65.6295302013</v>
      </c>
      <c r="CG11">
        <v>927</v>
      </c>
      <c r="CH11">
        <v>112</v>
      </c>
      <c r="CI11">
        <v>91.165048543699996</v>
      </c>
      <c r="CJ11">
        <v>77.321428571400006</v>
      </c>
      <c r="CL11" t="s">
        <v>425</v>
      </c>
      <c r="CM11" t="s">
        <v>755</v>
      </c>
      <c r="CN11" t="s">
        <v>759</v>
      </c>
      <c r="CO11">
        <v>86</v>
      </c>
      <c r="CP11">
        <v>9</v>
      </c>
      <c r="CQ11">
        <v>57.976744185999998</v>
      </c>
      <c r="CR11">
        <v>127</v>
      </c>
      <c r="CS11">
        <v>21</v>
      </c>
      <c r="CT11">
        <v>53.488188976399996</v>
      </c>
      <c r="CU11">
        <v>71.333333333300004</v>
      </c>
      <c r="CW11" t="s">
        <v>425</v>
      </c>
      <c r="CX11" t="s">
        <v>765</v>
      </c>
      <c r="CY11" t="s">
        <v>769</v>
      </c>
      <c r="CZ11">
        <v>22</v>
      </c>
      <c r="DA11">
        <v>1</v>
      </c>
      <c r="DB11">
        <v>60.272727272700003</v>
      </c>
      <c r="DC11">
        <v>12</v>
      </c>
      <c r="DD11">
        <v>6</v>
      </c>
      <c r="DE11">
        <v>122.9166666667</v>
      </c>
      <c r="DF11">
        <v>133.6666666667</v>
      </c>
      <c r="DH11" t="s">
        <v>425</v>
      </c>
      <c r="DI11" t="s">
        <v>745</v>
      </c>
      <c r="DJ11" t="s">
        <v>749</v>
      </c>
      <c r="DK11">
        <v>17</v>
      </c>
      <c r="DL11">
        <v>1</v>
      </c>
      <c r="DM11">
        <v>69.117647058800003</v>
      </c>
      <c r="DN11">
        <v>8</v>
      </c>
      <c r="DO11">
        <v>2</v>
      </c>
      <c r="DP11">
        <v>103.5</v>
      </c>
      <c r="DQ11">
        <v>111.5</v>
      </c>
    </row>
    <row r="12" spans="2:121" x14ac:dyDescent="0.2">
      <c r="B12" t="s">
        <v>127</v>
      </c>
      <c r="C12">
        <v>713</v>
      </c>
      <c r="D12">
        <v>353</v>
      </c>
      <c r="F12" t="s">
        <v>36</v>
      </c>
      <c r="G12">
        <v>7982</v>
      </c>
      <c r="H12">
        <v>719.05675269359995</v>
      </c>
      <c r="I12">
        <v>4898</v>
      </c>
      <c r="J12">
        <v>1073</v>
      </c>
      <c r="K12">
        <v>9337</v>
      </c>
      <c r="L12">
        <v>7677</v>
      </c>
      <c r="M12">
        <v>1246</v>
      </c>
      <c r="N12">
        <v>930</v>
      </c>
      <c r="O12">
        <v>5942</v>
      </c>
      <c r="P12">
        <v>5128</v>
      </c>
      <c r="Q12">
        <v>0</v>
      </c>
      <c r="R12">
        <v>3</v>
      </c>
      <c r="T12" t="s">
        <v>655</v>
      </c>
      <c r="U12" t="s">
        <v>312</v>
      </c>
      <c r="V12" t="s">
        <v>139</v>
      </c>
      <c r="W12" t="s">
        <v>220</v>
      </c>
      <c r="X12" t="s">
        <v>221</v>
      </c>
      <c r="Y12" t="s">
        <v>222</v>
      </c>
      <c r="Z12" t="s">
        <v>223</v>
      </c>
      <c r="AA12" t="s">
        <v>224</v>
      </c>
      <c r="AB12" t="s">
        <v>225</v>
      </c>
      <c r="AC12" t="s">
        <v>226</v>
      </c>
      <c r="AD12" t="s">
        <v>227</v>
      </c>
      <c r="AE12" t="s">
        <v>228</v>
      </c>
      <c r="AF12" t="s">
        <v>229</v>
      </c>
      <c r="AH12" t="s">
        <v>432</v>
      </c>
      <c r="AI12">
        <v>21051</v>
      </c>
      <c r="AJ12">
        <v>325.84300033250003</v>
      </c>
      <c r="AK12">
        <v>23877</v>
      </c>
      <c r="AL12">
        <v>5990</v>
      </c>
      <c r="AM12">
        <v>29284</v>
      </c>
      <c r="AN12">
        <v>18881</v>
      </c>
      <c r="AO12">
        <v>6041</v>
      </c>
      <c r="AP12">
        <v>3035</v>
      </c>
      <c r="AQ12">
        <v>14500</v>
      </c>
      <c r="AR12">
        <v>7989</v>
      </c>
      <c r="AS12">
        <v>2098</v>
      </c>
      <c r="AT12">
        <v>261</v>
      </c>
      <c r="AV12" t="s">
        <v>394</v>
      </c>
      <c r="AW12">
        <v>238</v>
      </c>
      <c r="AX12">
        <v>64.3655462185</v>
      </c>
      <c r="AY12">
        <v>472</v>
      </c>
      <c r="AZ12">
        <v>26</v>
      </c>
      <c r="BA12">
        <v>368</v>
      </c>
      <c r="BB12">
        <v>28</v>
      </c>
      <c r="BC12">
        <v>2</v>
      </c>
      <c r="BD12">
        <v>1</v>
      </c>
      <c r="BE12">
        <v>28</v>
      </c>
      <c r="BF12">
        <v>3</v>
      </c>
      <c r="BG12">
        <v>76</v>
      </c>
      <c r="BH12">
        <v>70</v>
      </c>
      <c r="BJ12" t="s">
        <v>558</v>
      </c>
      <c r="BK12" t="s">
        <v>392</v>
      </c>
      <c r="BL12">
        <v>5702</v>
      </c>
      <c r="BM12">
        <v>1000</v>
      </c>
      <c r="BN12">
        <v>84.719045948800002</v>
      </c>
      <c r="BO12">
        <v>3813</v>
      </c>
      <c r="BP12">
        <v>552</v>
      </c>
      <c r="BQ12">
        <v>133.50301599790001</v>
      </c>
      <c r="BR12">
        <v>135.9184782609</v>
      </c>
      <c r="BS12">
        <v>5235</v>
      </c>
      <c r="BT12">
        <v>638</v>
      </c>
      <c r="BU12">
        <v>73.5226361032</v>
      </c>
      <c r="BV12">
        <v>2824</v>
      </c>
      <c r="BW12">
        <v>469</v>
      </c>
      <c r="BX12">
        <v>126.4699008499</v>
      </c>
      <c r="BY12">
        <v>122.5159914712</v>
      </c>
      <c r="CA12" t="s">
        <v>419</v>
      </c>
      <c r="CB12" t="s">
        <v>774</v>
      </c>
      <c r="CC12" t="s">
        <v>1006</v>
      </c>
      <c r="CD12">
        <v>6208</v>
      </c>
      <c r="CE12">
        <v>966</v>
      </c>
      <c r="CF12">
        <v>77.785438144300002</v>
      </c>
      <c r="CG12">
        <v>4863</v>
      </c>
      <c r="CH12">
        <v>968</v>
      </c>
      <c r="CI12">
        <v>110.9997943656</v>
      </c>
      <c r="CJ12">
        <v>103.0361570248</v>
      </c>
      <c r="CL12" t="s">
        <v>419</v>
      </c>
      <c r="CM12" t="s">
        <v>755</v>
      </c>
      <c r="CN12" t="s">
        <v>760</v>
      </c>
      <c r="CO12">
        <v>404</v>
      </c>
      <c r="CP12">
        <v>38</v>
      </c>
      <c r="CQ12">
        <v>63.470297029699999</v>
      </c>
      <c r="CR12">
        <v>607</v>
      </c>
      <c r="CS12">
        <v>98</v>
      </c>
      <c r="CT12">
        <v>63.090609555199997</v>
      </c>
      <c r="CU12">
        <v>62.918367346899998</v>
      </c>
      <c r="CW12" t="s">
        <v>419</v>
      </c>
      <c r="CX12" t="s">
        <v>765</v>
      </c>
      <c r="CY12" t="s">
        <v>770</v>
      </c>
      <c r="CZ12">
        <v>130</v>
      </c>
      <c r="DA12">
        <v>16</v>
      </c>
      <c r="DB12">
        <v>70.253846153799998</v>
      </c>
      <c r="DC12">
        <v>53</v>
      </c>
      <c r="DD12">
        <v>8</v>
      </c>
      <c r="DE12">
        <v>133.60377358490001</v>
      </c>
      <c r="DF12">
        <v>149.375</v>
      </c>
      <c r="DH12" t="s">
        <v>419</v>
      </c>
      <c r="DI12" t="s">
        <v>745</v>
      </c>
      <c r="DJ12" t="s">
        <v>750</v>
      </c>
      <c r="DK12">
        <v>203</v>
      </c>
      <c r="DL12">
        <v>17</v>
      </c>
      <c r="DM12">
        <v>67.512315270900004</v>
      </c>
      <c r="DN12">
        <v>88</v>
      </c>
      <c r="DO12">
        <v>19</v>
      </c>
      <c r="DP12">
        <v>118.70454545450001</v>
      </c>
      <c r="DQ12">
        <v>130.68421052630001</v>
      </c>
    </row>
    <row r="13" spans="2:121" x14ac:dyDescent="0.2">
      <c r="B13" t="s">
        <v>100</v>
      </c>
      <c r="C13">
        <v>213</v>
      </c>
      <c r="D13">
        <v>124</v>
      </c>
      <c r="F13" t="s">
        <v>37</v>
      </c>
      <c r="G13">
        <v>219</v>
      </c>
      <c r="H13">
        <v>60.913242009100003</v>
      </c>
      <c r="I13">
        <v>1267</v>
      </c>
      <c r="J13">
        <v>243</v>
      </c>
      <c r="K13">
        <v>386</v>
      </c>
      <c r="L13">
        <v>49</v>
      </c>
      <c r="M13">
        <v>239</v>
      </c>
      <c r="N13">
        <v>15</v>
      </c>
      <c r="O13">
        <v>106</v>
      </c>
      <c r="P13">
        <v>49</v>
      </c>
      <c r="Q13">
        <v>0</v>
      </c>
      <c r="R13">
        <v>4</v>
      </c>
      <c r="T13" t="s">
        <v>392</v>
      </c>
      <c r="U13">
        <v>55972</v>
      </c>
      <c r="V13">
        <v>335.61046594729999</v>
      </c>
      <c r="W13">
        <v>64872</v>
      </c>
      <c r="X13">
        <v>14039</v>
      </c>
      <c r="Y13">
        <v>88790</v>
      </c>
      <c r="Z13">
        <v>52083</v>
      </c>
      <c r="AA13">
        <v>19267</v>
      </c>
      <c r="AB13">
        <v>11789</v>
      </c>
      <c r="AC13">
        <v>13170</v>
      </c>
      <c r="AD13">
        <v>7934</v>
      </c>
      <c r="AE13">
        <v>46</v>
      </c>
      <c r="AF13">
        <v>1125</v>
      </c>
      <c r="AH13" t="s">
        <v>388</v>
      </c>
      <c r="AI13">
        <v>16784</v>
      </c>
      <c r="AJ13">
        <v>360.42248570070001</v>
      </c>
      <c r="AK13">
        <v>18708</v>
      </c>
      <c r="AL13">
        <v>4432</v>
      </c>
      <c r="AM13">
        <v>24767</v>
      </c>
      <c r="AN13">
        <v>17160</v>
      </c>
      <c r="AO13">
        <v>7053</v>
      </c>
      <c r="AP13">
        <v>4699</v>
      </c>
      <c r="AQ13">
        <v>12334</v>
      </c>
      <c r="AR13">
        <v>8343</v>
      </c>
      <c r="AS13">
        <v>1043</v>
      </c>
      <c r="AT13">
        <v>20</v>
      </c>
      <c r="AV13" t="s">
        <v>415</v>
      </c>
      <c r="AW13">
        <v>32</v>
      </c>
      <c r="AX13">
        <v>35.46875</v>
      </c>
      <c r="AY13">
        <v>119</v>
      </c>
      <c r="AZ13">
        <v>1</v>
      </c>
      <c r="BA13">
        <v>58</v>
      </c>
      <c r="BC13">
        <v>1</v>
      </c>
      <c r="BD13">
        <v>1</v>
      </c>
      <c r="BE13">
        <v>2</v>
      </c>
      <c r="BG13">
        <v>103</v>
      </c>
      <c r="BH13">
        <v>10</v>
      </c>
      <c r="BJ13" t="s">
        <v>595</v>
      </c>
      <c r="BK13" t="s">
        <v>392</v>
      </c>
      <c r="BL13">
        <v>2344</v>
      </c>
      <c r="BM13">
        <v>511</v>
      </c>
      <c r="BN13">
        <v>90.362627986299998</v>
      </c>
      <c r="BO13">
        <v>1169</v>
      </c>
      <c r="BP13">
        <v>203</v>
      </c>
      <c r="BQ13">
        <v>152.32763045339999</v>
      </c>
      <c r="BR13">
        <v>144.68472906400001</v>
      </c>
      <c r="BS13">
        <v>4533</v>
      </c>
      <c r="BT13">
        <v>980</v>
      </c>
      <c r="BU13">
        <v>94.259210236000001</v>
      </c>
      <c r="BV13">
        <v>2373</v>
      </c>
      <c r="BW13">
        <v>412</v>
      </c>
      <c r="BX13">
        <v>169.59839865149999</v>
      </c>
      <c r="BY13">
        <v>154.6674757282</v>
      </c>
      <c r="CA13" t="s">
        <v>417</v>
      </c>
      <c r="CB13" t="s">
        <v>774</v>
      </c>
      <c r="CC13" t="s">
        <v>1007</v>
      </c>
      <c r="CD13">
        <v>33728</v>
      </c>
      <c r="CE13">
        <v>7516</v>
      </c>
      <c r="CF13">
        <v>93.922230787499998</v>
      </c>
      <c r="CG13">
        <v>23489</v>
      </c>
      <c r="CH13">
        <v>3902</v>
      </c>
      <c r="CI13">
        <v>137.07876027079999</v>
      </c>
      <c r="CJ13">
        <v>138.32778062529999</v>
      </c>
      <c r="CL13" t="s">
        <v>417</v>
      </c>
      <c r="CM13" t="s">
        <v>755</v>
      </c>
      <c r="CN13" t="s">
        <v>761</v>
      </c>
      <c r="CO13">
        <v>1681</v>
      </c>
      <c r="CP13">
        <v>126</v>
      </c>
      <c r="CQ13">
        <v>59.991671623999999</v>
      </c>
      <c r="CR13">
        <v>2366</v>
      </c>
      <c r="CS13">
        <v>373</v>
      </c>
      <c r="CT13">
        <v>64.133136094700006</v>
      </c>
      <c r="CU13">
        <v>69.235924933000007</v>
      </c>
      <c r="CW13" t="s">
        <v>417</v>
      </c>
      <c r="CX13" t="s">
        <v>765</v>
      </c>
      <c r="CY13" t="s">
        <v>771</v>
      </c>
      <c r="CZ13">
        <v>1257</v>
      </c>
      <c r="DA13">
        <v>168</v>
      </c>
      <c r="DB13">
        <v>74.412092283199996</v>
      </c>
      <c r="DC13">
        <v>429</v>
      </c>
      <c r="DD13">
        <v>83</v>
      </c>
      <c r="DE13">
        <v>132.50815850820001</v>
      </c>
      <c r="DF13">
        <v>133.421686747</v>
      </c>
      <c r="DH13" t="s">
        <v>417</v>
      </c>
      <c r="DI13" t="s">
        <v>745</v>
      </c>
      <c r="DJ13" t="s">
        <v>751</v>
      </c>
      <c r="DK13">
        <v>1145</v>
      </c>
      <c r="DL13">
        <v>170</v>
      </c>
      <c r="DM13">
        <v>74.629694323099997</v>
      </c>
      <c r="DN13">
        <v>521</v>
      </c>
      <c r="DO13">
        <v>91</v>
      </c>
      <c r="DP13">
        <v>131.310940499</v>
      </c>
      <c r="DQ13">
        <v>146.1428571429</v>
      </c>
    </row>
    <row r="14" spans="2:121" x14ac:dyDescent="0.2">
      <c r="B14" t="s">
        <v>134</v>
      </c>
      <c r="C14">
        <v>1398</v>
      </c>
      <c r="D14">
        <v>272</v>
      </c>
      <c r="F14" t="s">
        <v>41</v>
      </c>
      <c r="G14">
        <v>6235</v>
      </c>
      <c r="H14">
        <v>452.26543704890003</v>
      </c>
      <c r="I14">
        <v>8293</v>
      </c>
      <c r="J14">
        <v>2100</v>
      </c>
      <c r="K14">
        <v>8699</v>
      </c>
      <c r="L14">
        <v>5847</v>
      </c>
      <c r="M14">
        <v>1585</v>
      </c>
      <c r="N14">
        <v>825</v>
      </c>
      <c r="O14">
        <v>3264</v>
      </c>
      <c r="P14">
        <v>1527</v>
      </c>
      <c r="Q14">
        <v>0</v>
      </c>
      <c r="R14">
        <v>330</v>
      </c>
      <c r="T14" t="s">
        <v>397</v>
      </c>
      <c r="U14">
        <v>41312</v>
      </c>
      <c r="V14">
        <v>352.47555189780002</v>
      </c>
      <c r="W14">
        <v>57416</v>
      </c>
      <c r="X14">
        <v>11586</v>
      </c>
      <c r="Y14">
        <v>70178</v>
      </c>
      <c r="Z14">
        <v>36869</v>
      </c>
      <c r="AA14">
        <v>13181</v>
      </c>
      <c r="AB14">
        <v>7579</v>
      </c>
      <c r="AC14">
        <v>14433</v>
      </c>
      <c r="AD14">
        <v>9939</v>
      </c>
      <c r="AE14">
        <v>6030</v>
      </c>
      <c r="AF14">
        <v>1036</v>
      </c>
      <c r="AH14" t="s">
        <v>435</v>
      </c>
      <c r="AI14">
        <v>1719</v>
      </c>
      <c r="AJ14">
        <v>300.46538685280001</v>
      </c>
      <c r="AK14">
        <v>2022</v>
      </c>
      <c r="AL14">
        <v>348</v>
      </c>
      <c r="AM14">
        <v>2407</v>
      </c>
      <c r="AN14">
        <v>1549</v>
      </c>
      <c r="AO14">
        <v>479</v>
      </c>
      <c r="AP14">
        <v>283</v>
      </c>
      <c r="AQ14">
        <v>383</v>
      </c>
      <c r="AR14">
        <v>195</v>
      </c>
      <c r="AS14">
        <v>3</v>
      </c>
      <c r="AT14">
        <v>3</v>
      </c>
      <c r="AV14" t="s">
        <v>400</v>
      </c>
      <c r="AW14">
        <v>170</v>
      </c>
      <c r="AX14">
        <v>58.370588235299998</v>
      </c>
      <c r="AY14">
        <v>455</v>
      </c>
      <c r="AZ14">
        <v>39</v>
      </c>
      <c r="BA14">
        <v>297</v>
      </c>
      <c r="BB14">
        <v>26</v>
      </c>
      <c r="BC14">
        <v>2</v>
      </c>
      <c r="BD14">
        <v>1</v>
      </c>
      <c r="BE14">
        <v>47</v>
      </c>
      <c r="BF14">
        <v>10</v>
      </c>
      <c r="BG14">
        <v>63</v>
      </c>
      <c r="BH14">
        <v>63</v>
      </c>
      <c r="BJ14" t="s">
        <v>612</v>
      </c>
      <c r="BK14" t="s">
        <v>392</v>
      </c>
      <c r="BL14">
        <v>17238</v>
      </c>
      <c r="BM14">
        <v>3354</v>
      </c>
      <c r="BN14">
        <v>88.323703445899994</v>
      </c>
      <c r="BO14">
        <v>10362</v>
      </c>
      <c r="BP14">
        <v>1848</v>
      </c>
      <c r="BQ14">
        <v>140.1691758348</v>
      </c>
      <c r="BR14">
        <v>138.78733766229999</v>
      </c>
      <c r="BS14">
        <v>15995</v>
      </c>
      <c r="BT14">
        <v>3141</v>
      </c>
      <c r="BU14">
        <v>88.284588933999999</v>
      </c>
      <c r="BV14">
        <v>10049</v>
      </c>
      <c r="BW14">
        <v>1791</v>
      </c>
      <c r="BX14">
        <v>138.45347795800001</v>
      </c>
      <c r="BY14">
        <v>137.03238414290001</v>
      </c>
      <c r="CA14" t="s">
        <v>413</v>
      </c>
      <c r="CB14" t="s">
        <v>774</v>
      </c>
      <c r="CC14" t="s">
        <v>1008</v>
      </c>
      <c r="CD14">
        <v>2072</v>
      </c>
      <c r="CE14">
        <v>473</v>
      </c>
      <c r="CF14">
        <v>90.784749034699999</v>
      </c>
      <c r="CG14">
        <v>1024</v>
      </c>
      <c r="CH14">
        <v>183</v>
      </c>
      <c r="CI14">
        <v>150.0078125</v>
      </c>
      <c r="CJ14">
        <v>144.4153005464</v>
      </c>
      <c r="CL14" t="s">
        <v>413</v>
      </c>
      <c r="CM14" t="s">
        <v>755</v>
      </c>
      <c r="CN14" t="s">
        <v>762</v>
      </c>
      <c r="CO14">
        <v>169</v>
      </c>
      <c r="CP14">
        <v>11</v>
      </c>
      <c r="CQ14">
        <v>62.970414201200001</v>
      </c>
      <c r="CR14">
        <v>205</v>
      </c>
      <c r="CS14">
        <v>28</v>
      </c>
      <c r="CT14">
        <v>61.8</v>
      </c>
      <c r="CU14">
        <v>71.035714285699996</v>
      </c>
      <c r="CW14" t="s">
        <v>413</v>
      </c>
      <c r="CX14" t="s">
        <v>765</v>
      </c>
      <c r="CY14" t="s">
        <v>772</v>
      </c>
      <c r="CZ14">
        <v>61</v>
      </c>
      <c r="DA14">
        <v>11</v>
      </c>
      <c r="DB14">
        <v>81.049180327900004</v>
      </c>
      <c r="DC14">
        <v>37</v>
      </c>
      <c r="DD14">
        <v>7</v>
      </c>
      <c r="DE14">
        <v>136.2432432432</v>
      </c>
      <c r="DF14">
        <v>182.8571428571</v>
      </c>
      <c r="DH14" t="s">
        <v>413</v>
      </c>
      <c r="DI14" t="s">
        <v>745</v>
      </c>
      <c r="DJ14" t="s">
        <v>752</v>
      </c>
      <c r="DK14">
        <v>73</v>
      </c>
      <c r="DL14">
        <v>11</v>
      </c>
      <c r="DM14">
        <v>79.630136986300002</v>
      </c>
      <c r="DN14">
        <v>36</v>
      </c>
      <c r="DO14">
        <v>4</v>
      </c>
      <c r="DP14">
        <v>101.1111111111</v>
      </c>
      <c r="DQ14">
        <v>118.75</v>
      </c>
    </row>
    <row r="15" spans="2:121" x14ac:dyDescent="0.2">
      <c r="B15" t="s">
        <v>124</v>
      </c>
      <c r="C15">
        <v>24</v>
      </c>
      <c r="D15">
        <v>8</v>
      </c>
      <c r="F15" t="s">
        <v>39</v>
      </c>
      <c r="G15">
        <v>421</v>
      </c>
      <c r="H15">
        <v>269.79809976249999</v>
      </c>
      <c r="I15">
        <v>824</v>
      </c>
      <c r="J15">
        <v>132</v>
      </c>
      <c r="K15">
        <v>671</v>
      </c>
      <c r="L15">
        <v>317</v>
      </c>
      <c r="M15">
        <v>83</v>
      </c>
      <c r="N15">
        <v>9</v>
      </c>
      <c r="O15">
        <v>115</v>
      </c>
      <c r="P15">
        <v>28</v>
      </c>
      <c r="Q15">
        <v>2</v>
      </c>
      <c r="R15">
        <v>6</v>
      </c>
      <c r="T15" t="s">
        <v>376</v>
      </c>
      <c r="U15">
        <v>106055</v>
      </c>
      <c r="V15">
        <v>463.28733204470001</v>
      </c>
      <c r="W15">
        <v>79400</v>
      </c>
      <c r="X15">
        <v>18662</v>
      </c>
      <c r="Y15">
        <v>139190</v>
      </c>
      <c r="Z15">
        <v>101371</v>
      </c>
      <c r="AA15">
        <v>32421</v>
      </c>
      <c r="AB15">
        <v>21881</v>
      </c>
      <c r="AC15">
        <v>29729</v>
      </c>
      <c r="AD15">
        <v>24543</v>
      </c>
      <c r="AE15">
        <v>12607</v>
      </c>
      <c r="AF15">
        <v>53</v>
      </c>
      <c r="AH15" t="s">
        <v>415</v>
      </c>
      <c r="AI15">
        <v>757</v>
      </c>
      <c r="AJ15">
        <v>287.75957727870002</v>
      </c>
      <c r="AK15">
        <v>1427</v>
      </c>
      <c r="AL15">
        <v>273</v>
      </c>
      <c r="AM15">
        <v>1162</v>
      </c>
      <c r="AN15">
        <v>596</v>
      </c>
      <c r="AO15">
        <v>354</v>
      </c>
      <c r="AP15">
        <v>129</v>
      </c>
      <c r="AQ15">
        <v>332</v>
      </c>
      <c r="AR15">
        <v>160</v>
      </c>
      <c r="AS15">
        <v>2</v>
      </c>
      <c r="AT15">
        <v>5</v>
      </c>
      <c r="AV15" t="s">
        <v>419</v>
      </c>
      <c r="AW15">
        <v>115</v>
      </c>
      <c r="AX15">
        <v>36.313043478300003</v>
      </c>
      <c r="AY15">
        <v>275</v>
      </c>
      <c r="AZ15">
        <v>7</v>
      </c>
      <c r="BA15">
        <v>170</v>
      </c>
      <c r="BB15">
        <v>9</v>
      </c>
      <c r="BC15">
        <v>2</v>
      </c>
      <c r="BD15">
        <v>2</v>
      </c>
      <c r="BE15">
        <v>11</v>
      </c>
      <c r="BF15">
        <v>7</v>
      </c>
      <c r="BG15">
        <v>445</v>
      </c>
      <c r="BH15">
        <v>35</v>
      </c>
      <c r="BJ15" t="s">
        <v>574</v>
      </c>
      <c r="BK15" t="s">
        <v>397</v>
      </c>
      <c r="BL15">
        <v>6945</v>
      </c>
      <c r="BM15">
        <v>1817</v>
      </c>
      <c r="BN15">
        <v>102.1042476602</v>
      </c>
      <c r="BO15">
        <v>3650</v>
      </c>
      <c r="BP15">
        <v>693</v>
      </c>
      <c r="BQ15">
        <v>161.13205479449999</v>
      </c>
      <c r="BR15">
        <v>152.0909090909</v>
      </c>
      <c r="BS15">
        <v>3727</v>
      </c>
      <c r="BT15">
        <v>931</v>
      </c>
      <c r="BU15">
        <v>97.024684733000001</v>
      </c>
      <c r="BV15">
        <v>2150</v>
      </c>
      <c r="BW15">
        <v>441</v>
      </c>
      <c r="BX15">
        <v>139.9506976744</v>
      </c>
      <c r="BY15">
        <v>126.01133786849999</v>
      </c>
      <c r="CA15" t="s">
        <v>428</v>
      </c>
      <c r="CB15" t="s">
        <v>774</v>
      </c>
      <c r="CC15" t="s">
        <v>1009</v>
      </c>
      <c r="CD15">
        <v>884</v>
      </c>
      <c r="CE15">
        <v>156</v>
      </c>
      <c r="CF15">
        <v>86.845022624400002</v>
      </c>
      <c r="CG15">
        <v>516</v>
      </c>
      <c r="CH15">
        <v>105</v>
      </c>
      <c r="CI15">
        <v>135.97093023260001</v>
      </c>
      <c r="CJ15">
        <v>143.8952380952</v>
      </c>
      <c r="CL15" t="s">
        <v>428</v>
      </c>
      <c r="CM15" t="s">
        <v>755</v>
      </c>
      <c r="CN15" t="s">
        <v>763</v>
      </c>
      <c r="CO15">
        <v>20</v>
      </c>
      <c r="CP15">
        <v>1</v>
      </c>
      <c r="CQ15">
        <v>59.45</v>
      </c>
      <c r="CR15">
        <v>43</v>
      </c>
      <c r="CS15">
        <v>11</v>
      </c>
      <c r="CT15">
        <v>62.023255814000002</v>
      </c>
      <c r="CU15">
        <v>55.818181818200003</v>
      </c>
      <c r="CW15" t="s">
        <v>428</v>
      </c>
      <c r="CX15" t="s">
        <v>765</v>
      </c>
      <c r="CY15" t="s">
        <v>773</v>
      </c>
      <c r="CZ15">
        <v>21</v>
      </c>
      <c r="DA15">
        <v>6</v>
      </c>
      <c r="DB15">
        <v>105.2380952381</v>
      </c>
      <c r="DC15">
        <v>8</v>
      </c>
      <c r="DD15">
        <v>1</v>
      </c>
      <c r="DE15">
        <v>136.75</v>
      </c>
      <c r="DF15">
        <v>130</v>
      </c>
      <c r="DH15" t="s">
        <v>428</v>
      </c>
      <c r="DI15" t="s">
        <v>745</v>
      </c>
      <c r="DJ15" t="s">
        <v>753</v>
      </c>
      <c r="DK15">
        <v>16</v>
      </c>
      <c r="DL15">
        <v>6</v>
      </c>
      <c r="DM15">
        <v>109.0625</v>
      </c>
      <c r="DN15">
        <v>11</v>
      </c>
      <c r="DO15">
        <v>1</v>
      </c>
      <c r="DP15">
        <v>91.727272727300004</v>
      </c>
      <c r="DQ15">
        <v>108</v>
      </c>
    </row>
    <row r="16" spans="2:121" x14ac:dyDescent="0.2">
      <c r="B16" t="s">
        <v>983</v>
      </c>
      <c r="C16">
        <v>4</v>
      </c>
      <c r="D16">
        <v>3</v>
      </c>
      <c r="F16" t="s">
        <v>64</v>
      </c>
      <c r="G16">
        <v>871</v>
      </c>
      <c r="H16">
        <v>124.1021814007</v>
      </c>
      <c r="I16">
        <v>2486</v>
      </c>
      <c r="J16">
        <v>512</v>
      </c>
      <c r="K16">
        <v>1551</v>
      </c>
      <c r="L16">
        <v>448</v>
      </c>
      <c r="M16">
        <v>750</v>
      </c>
      <c r="N16">
        <v>539</v>
      </c>
      <c r="O16">
        <v>1880</v>
      </c>
      <c r="P16">
        <v>1401</v>
      </c>
      <c r="Q16">
        <v>0</v>
      </c>
      <c r="R16">
        <v>1</v>
      </c>
      <c r="T16" t="s">
        <v>8</v>
      </c>
      <c r="U16">
        <v>53</v>
      </c>
      <c r="V16">
        <v>882.22641509430002</v>
      </c>
      <c r="W16">
        <v>7</v>
      </c>
      <c r="Y16">
        <v>56</v>
      </c>
      <c r="Z16">
        <v>52</v>
      </c>
      <c r="AA16">
        <v>2</v>
      </c>
      <c r="AB16">
        <v>1</v>
      </c>
      <c r="AC16">
        <v>35915</v>
      </c>
      <c r="AD16">
        <v>11845</v>
      </c>
      <c r="AE16">
        <v>0</v>
      </c>
      <c r="AF16">
        <v>1</v>
      </c>
      <c r="AH16" t="s">
        <v>401</v>
      </c>
      <c r="AI16">
        <v>7313</v>
      </c>
      <c r="AJ16">
        <v>489.51278545060001</v>
      </c>
      <c r="AK16">
        <v>7520</v>
      </c>
      <c r="AL16">
        <v>1876</v>
      </c>
      <c r="AM16">
        <v>9950</v>
      </c>
      <c r="AN16">
        <v>6889</v>
      </c>
      <c r="AO16">
        <v>1846</v>
      </c>
      <c r="AP16">
        <v>1370</v>
      </c>
      <c r="AQ16">
        <v>2055</v>
      </c>
      <c r="AR16">
        <v>1137</v>
      </c>
      <c r="AS16">
        <v>689</v>
      </c>
      <c r="AT16">
        <v>207</v>
      </c>
      <c r="AV16" t="s">
        <v>382</v>
      </c>
      <c r="AW16">
        <v>1586</v>
      </c>
      <c r="AX16">
        <v>101.5712484237</v>
      </c>
      <c r="AY16">
        <v>2686</v>
      </c>
      <c r="AZ16">
        <v>532</v>
      </c>
      <c r="BA16">
        <v>2274</v>
      </c>
      <c r="BB16">
        <v>775</v>
      </c>
      <c r="BC16">
        <v>43</v>
      </c>
      <c r="BD16">
        <v>39</v>
      </c>
      <c r="BE16">
        <v>141</v>
      </c>
      <c r="BF16">
        <v>26</v>
      </c>
      <c r="BG16">
        <v>189</v>
      </c>
      <c r="BH16">
        <v>467</v>
      </c>
      <c r="BJ16" t="s">
        <v>566</v>
      </c>
      <c r="BK16" t="s">
        <v>397</v>
      </c>
      <c r="BL16">
        <v>8621</v>
      </c>
      <c r="BM16">
        <v>2117</v>
      </c>
      <c r="BN16">
        <v>99.127363414900003</v>
      </c>
      <c r="BO16">
        <v>5692</v>
      </c>
      <c r="BP16">
        <v>1034</v>
      </c>
      <c r="BQ16">
        <v>126.394940267</v>
      </c>
      <c r="BR16">
        <v>124.3617021277</v>
      </c>
      <c r="BS16">
        <v>9207</v>
      </c>
      <c r="BT16">
        <v>2500</v>
      </c>
      <c r="BU16">
        <v>108.50950363849999</v>
      </c>
      <c r="BV16">
        <v>6622</v>
      </c>
      <c r="BW16">
        <v>1160</v>
      </c>
      <c r="BX16">
        <v>140.51630927209999</v>
      </c>
      <c r="BY16">
        <v>136.62413793100001</v>
      </c>
      <c r="CA16" t="s">
        <v>392</v>
      </c>
      <c r="CB16" t="s">
        <v>774</v>
      </c>
      <c r="CD16">
        <v>64540</v>
      </c>
      <c r="CE16">
        <v>13697</v>
      </c>
      <c r="CF16">
        <v>91.632863340599997</v>
      </c>
      <c r="CG16">
        <v>43615</v>
      </c>
      <c r="CH16">
        <v>7416</v>
      </c>
      <c r="CI16">
        <v>133.36636478279999</v>
      </c>
      <c r="CJ16">
        <v>135.55838727080001</v>
      </c>
      <c r="CL16" t="s">
        <v>392</v>
      </c>
      <c r="CM16" t="s">
        <v>755</v>
      </c>
      <c r="CO16">
        <v>3784</v>
      </c>
      <c r="CP16">
        <v>309</v>
      </c>
      <c r="CQ16">
        <v>61.781712473600003</v>
      </c>
      <c r="CR16">
        <v>4986</v>
      </c>
      <c r="CS16">
        <v>845</v>
      </c>
      <c r="CT16">
        <v>63.075210589699999</v>
      </c>
      <c r="CU16">
        <v>68.150295858000007</v>
      </c>
      <c r="CW16" t="s">
        <v>392</v>
      </c>
      <c r="CX16" t="s">
        <v>765</v>
      </c>
      <c r="CZ16">
        <v>2035</v>
      </c>
      <c r="DA16">
        <v>300</v>
      </c>
      <c r="DB16">
        <v>75.642751842799996</v>
      </c>
      <c r="DC16">
        <v>712</v>
      </c>
      <c r="DD16">
        <v>141</v>
      </c>
      <c r="DE16">
        <v>133.68398876399999</v>
      </c>
      <c r="DF16">
        <v>142.39007092200001</v>
      </c>
      <c r="DH16" t="s">
        <v>392</v>
      </c>
      <c r="DI16" t="s">
        <v>745</v>
      </c>
      <c r="DK16">
        <v>2243</v>
      </c>
      <c r="DL16">
        <v>290</v>
      </c>
      <c r="DM16">
        <v>72.713330361100006</v>
      </c>
      <c r="DN16">
        <v>942</v>
      </c>
      <c r="DO16">
        <v>163</v>
      </c>
      <c r="DP16">
        <v>124.95859872610001</v>
      </c>
      <c r="DQ16">
        <v>137.8404907975</v>
      </c>
    </row>
    <row r="17" spans="2:121" x14ac:dyDescent="0.2">
      <c r="B17" t="s">
        <v>125</v>
      </c>
      <c r="C17">
        <v>70</v>
      </c>
      <c r="D17">
        <v>47</v>
      </c>
      <c r="F17" t="s">
        <v>86</v>
      </c>
      <c r="G17">
        <v>18756</v>
      </c>
      <c r="H17">
        <v>361.08061420349998</v>
      </c>
      <c r="I17">
        <v>19511</v>
      </c>
      <c r="J17">
        <v>5019</v>
      </c>
      <c r="K17">
        <v>31171</v>
      </c>
      <c r="L17">
        <v>18819</v>
      </c>
      <c r="M17">
        <v>7996</v>
      </c>
      <c r="N17">
        <v>5213</v>
      </c>
      <c r="O17">
        <v>3433</v>
      </c>
      <c r="P17">
        <v>2733</v>
      </c>
      <c r="Q17">
        <v>0</v>
      </c>
      <c r="R17">
        <v>16</v>
      </c>
      <c r="T17" t="s">
        <v>411</v>
      </c>
      <c r="U17">
        <v>57292</v>
      </c>
      <c r="V17">
        <v>368.644976611</v>
      </c>
      <c r="W17">
        <v>60408</v>
      </c>
      <c r="X17">
        <v>12203</v>
      </c>
      <c r="Y17">
        <v>82570</v>
      </c>
      <c r="Z17">
        <v>53651</v>
      </c>
      <c r="AA17">
        <v>22516</v>
      </c>
      <c r="AB17">
        <v>15239</v>
      </c>
      <c r="AC17">
        <v>19289</v>
      </c>
      <c r="AD17">
        <v>14769</v>
      </c>
      <c r="AE17">
        <v>343</v>
      </c>
      <c r="AF17">
        <v>662</v>
      </c>
      <c r="AH17" t="s">
        <v>399</v>
      </c>
      <c r="AI17">
        <v>7367</v>
      </c>
      <c r="AJ17">
        <v>605.3787158952</v>
      </c>
      <c r="AK17">
        <v>5294</v>
      </c>
      <c r="AL17">
        <v>959</v>
      </c>
      <c r="AM17">
        <v>11365</v>
      </c>
      <c r="AN17">
        <v>7446</v>
      </c>
      <c r="AO17">
        <v>1840</v>
      </c>
      <c r="AP17">
        <v>1219</v>
      </c>
      <c r="AQ17">
        <v>2422</v>
      </c>
      <c r="AR17">
        <v>1752</v>
      </c>
      <c r="AS17">
        <v>506</v>
      </c>
      <c r="AT17">
        <v>191</v>
      </c>
      <c r="AV17" t="s">
        <v>435</v>
      </c>
      <c r="AW17">
        <v>17</v>
      </c>
      <c r="AX17">
        <v>48.823529411800003</v>
      </c>
      <c r="AY17">
        <v>39</v>
      </c>
      <c r="AZ17">
        <v>4</v>
      </c>
      <c r="BA17">
        <v>23</v>
      </c>
      <c r="BB17">
        <v>2</v>
      </c>
      <c r="BC17">
        <v>2</v>
      </c>
      <c r="BD17">
        <v>2</v>
      </c>
      <c r="BE17">
        <v>4</v>
      </c>
      <c r="BF17">
        <v>1</v>
      </c>
      <c r="BG17">
        <v>55</v>
      </c>
      <c r="BH17">
        <v>6</v>
      </c>
      <c r="BJ17" t="s">
        <v>583</v>
      </c>
      <c r="BK17" t="s">
        <v>397</v>
      </c>
      <c r="BL17">
        <v>2291</v>
      </c>
      <c r="BM17">
        <v>359</v>
      </c>
      <c r="BN17">
        <v>77.6137058053</v>
      </c>
      <c r="BO17">
        <v>1805</v>
      </c>
      <c r="BP17">
        <v>301</v>
      </c>
      <c r="BQ17">
        <v>111.3119113573</v>
      </c>
      <c r="BR17">
        <v>110.5049833887</v>
      </c>
      <c r="BS17">
        <v>2915</v>
      </c>
      <c r="BT17">
        <v>735</v>
      </c>
      <c r="BU17">
        <v>96.909090909100001</v>
      </c>
      <c r="BV17">
        <v>2453</v>
      </c>
      <c r="BW17">
        <v>429</v>
      </c>
      <c r="BX17">
        <v>125.48471259679999</v>
      </c>
      <c r="BY17">
        <v>123.18414918409999</v>
      </c>
      <c r="CA17" t="s">
        <v>401</v>
      </c>
      <c r="CB17" t="s">
        <v>814</v>
      </c>
      <c r="CC17" t="s">
        <v>1010</v>
      </c>
      <c r="CD17">
        <v>7113</v>
      </c>
      <c r="CE17">
        <v>1825</v>
      </c>
      <c r="CF17">
        <v>100.8737522845</v>
      </c>
      <c r="CG17">
        <v>3946</v>
      </c>
      <c r="CH17">
        <v>743</v>
      </c>
      <c r="CI17">
        <v>156.32361885450001</v>
      </c>
      <c r="CJ17">
        <v>147.88021534320001</v>
      </c>
      <c r="CL17" t="s">
        <v>401</v>
      </c>
      <c r="CM17" t="s">
        <v>789</v>
      </c>
      <c r="CN17" t="s">
        <v>788</v>
      </c>
      <c r="CO17">
        <v>833</v>
      </c>
      <c r="CP17">
        <v>71</v>
      </c>
      <c r="CQ17">
        <v>68.776710684299999</v>
      </c>
      <c r="CR17">
        <v>913</v>
      </c>
      <c r="CS17">
        <v>191</v>
      </c>
      <c r="CT17">
        <v>70.216867469899995</v>
      </c>
      <c r="CU17">
        <v>71.858638743499995</v>
      </c>
      <c r="CW17" t="s">
        <v>401</v>
      </c>
      <c r="CX17" t="s">
        <v>802</v>
      </c>
      <c r="CY17" t="s">
        <v>801</v>
      </c>
      <c r="CZ17">
        <v>254</v>
      </c>
      <c r="DA17">
        <v>51</v>
      </c>
      <c r="DB17">
        <v>84.988188976399996</v>
      </c>
      <c r="DC17">
        <v>73</v>
      </c>
      <c r="DD17">
        <v>15</v>
      </c>
      <c r="DE17">
        <v>135.80821917809999</v>
      </c>
      <c r="DF17">
        <v>136.6666666667</v>
      </c>
      <c r="DH17" t="s">
        <v>401</v>
      </c>
      <c r="DI17" t="s">
        <v>776</v>
      </c>
      <c r="DJ17" t="s">
        <v>775</v>
      </c>
      <c r="DK17">
        <v>182</v>
      </c>
      <c r="DL17">
        <v>25</v>
      </c>
      <c r="DM17">
        <v>70.549450549499994</v>
      </c>
      <c r="DN17">
        <v>105</v>
      </c>
      <c r="DO17">
        <v>22</v>
      </c>
      <c r="DP17">
        <v>119.5619047619</v>
      </c>
      <c r="DQ17">
        <v>147.5909090909</v>
      </c>
    </row>
    <row r="18" spans="2:121" x14ac:dyDescent="0.2">
      <c r="B18" t="s">
        <v>97</v>
      </c>
      <c r="C18">
        <v>28</v>
      </c>
      <c r="D18">
        <v>26</v>
      </c>
      <c r="F18" t="s">
        <v>73</v>
      </c>
      <c r="G18">
        <v>7820</v>
      </c>
      <c r="H18">
        <v>239.83759590790001</v>
      </c>
      <c r="I18">
        <v>2290</v>
      </c>
      <c r="J18">
        <v>507</v>
      </c>
      <c r="K18">
        <v>17010</v>
      </c>
      <c r="L18">
        <v>8190</v>
      </c>
      <c r="M18">
        <v>1745</v>
      </c>
      <c r="N18">
        <v>636</v>
      </c>
      <c r="O18">
        <v>156</v>
      </c>
      <c r="P18">
        <v>98</v>
      </c>
      <c r="Q18">
        <v>0</v>
      </c>
      <c r="R18">
        <v>2</v>
      </c>
      <c r="T18" t="s">
        <v>387</v>
      </c>
      <c r="U18">
        <v>68025</v>
      </c>
      <c r="V18">
        <v>344.0871738331</v>
      </c>
      <c r="W18">
        <v>73121</v>
      </c>
      <c r="X18">
        <v>17461</v>
      </c>
      <c r="Y18">
        <v>96949</v>
      </c>
      <c r="Z18">
        <v>63957</v>
      </c>
      <c r="AA18">
        <v>23328</v>
      </c>
      <c r="AB18">
        <v>16242</v>
      </c>
      <c r="AC18">
        <v>27612</v>
      </c>
      <c r="AD18">
        <v>18312</v>
      </c>
      <c r="AE18">
        <v>141</v>
      </c>
      <c r="AF18">
        <v>1141</v>
      </c>
      <c r="AH18" t="s">
        <v>406</v>
      </c>
      <c r="AI18">
        <v>1442</v>
      </c>
      <c r="AJ18">
        <v>190.69001386959999</v>
      </c>
      <c r="AK18">
        <v>2375</v>
      </c>
      <c r="AL18">
        <v>392</v>
      </c>
      <c r="AM18">
        <v>2497</v>
      </c>
      <c r="AN18">
        <v>1113</v>
      </c>
      <c r="AO18">
        <v>380</v>
      </c>
      <c r="AP18">
        <v>186</v>
      </c>
      <c r="AQ18">
        <v>501</v>
      </c>
      <c r="AR18">
        <v>253</v>
      </c>
      <c r="AS18">
        <v>1</v>
      </c>
      <c r="AT18">
        <v>8</v>
      </c>
      <c r="AV18" t="s">
        <v>406</v>
      </c>
      <c r="AW18">
        <v>93</v>
      </c>
      <c r="AX18">
        <v>47.268817204299999</v>
      </c>
      <c r="AY18">
        <v>306</v>
      </c>
      <c r="AZ18">
        <v>6</v>
      </c>
      <c r="BA18">
        <v>149</v>
      </c>
      <c r="BB18">
        <v>3</v>
      </c>
      <c r="BC18">
        <v>0</v>
      </c>
      <c r="BE18">
        <v>10</v>
      </c>
      <c r="BF18">
        <v>1</v>
      </c>
      <c r="BG18">
        <v>273</v>
      </c>
      <c r="BH18">
        <v>11</v>
      </c>
      <c r="BJ18" t="s">
        <v>576</v>
      </c>
      <c r="BK18" t="s">
        <v>397</v>
      </c>
      <c r="BL18">
        <v>7376</v>
      </c>
      <c r="BM18">
        <v>1741</v>
      </c>
      <c r="BN18">
        <v>97.4895607375</v>
      </c>
      <c r="BO18">
        <v>4229</v>
      </c>
      <c r="BP18">
        <v>806</v>
      </c>
      <c r="BQ18">
        <v>147.62615275479999</v>
      </c>
      <c r="BR18">
        <v>137.4937965261</v>
      </c>
      <c r="BS18">
        <v>7426</v>
      </c>
      <c r="BT18">
        <v>1710</v>
      </c>
      <c r="BU18">
        <v>96.803124158399996</v>
      </c>
      <c r="BV18">
        <v>4231</v>
      </c>
      <c r="BW18">
        <v>816</v>
      </c>
      <c r="BX18">
        <v>143.68588986060001</v>
      </c>
      <c r="BY18">
        <v>136.550245098</v>
      </c>
      <c r="CA18" t="s">
        <v>399</v>
      </c>
      <c r="CB18" t="s">
        <v>814</v>
      </c>
      <c r="CC18" t="s">
        <v>1011</v>
      </c>
      <c r="CD18">
        <v>5024</v>
      </c>
      <c r="CE18">
        <v>887</v>
      </c>
      <c r="CF18">
        <v>85.128980891699996</v>
      </c>
      <c r="CG18">
        <v>3485</v>
      </c>
      <c r="CH18">
        <v>601</v>
      </c>
      <c r="CI18">
        <v>126.0608321377</v>
      </c>
      <c r="CJ18">
        <v>132.78702163060001</v>
      </c>
      <c r="CL18" t="s">
        <v>399</v>
      </c>
      <c r="CM18" t="s">
        <v>789</v>
      </c>
      <c r="CN18" t="s">
        <v>790</v>
      </c>
      <c r="CO18">
        <v>458</v>
      </c>
      <c r="CP18">
        <v>37</v>
      </c>
      <c r="CQ18">
        <v>61.069868995599997</v>
      </c>
      <c r="CR18">
        <v>549</v>
      </c>
      <c r="CS18">
        <v>110</v>
      </c>
      <c r="CT18">
        <v>77.176684881599996</v>
      </c>
      <c r="CU18">
        <v>73.363636363599994</v>
      </c>
      <c r="CW18" t="s">
        <v>399</v>
      </c>
      <c r="CX18" t="s">
        <v>802</v>
      </c>
      <c r="CY18" t="s">
        <v>803</v>
      </c>
      <c r="CZ18">
        <v>123</v>
      </c>
      <c r="DA18">
        <v>20</v>
      </c>
      <c r="DB18">
        <v>78.813008130100002</v>
      </c>
      <c r="DC18">
        <v>39</v>
      </c>
      <c r="DD18">
        <v>8</v>
      </c>
      <c r="DE18">
        <v>141.07692307689999</v>
      </c>
      <c r="DF18">
        <v>129.75</v>
      </c>
      <c r="DH18" t="s">
        <v>399</v>
      </c>
      <c r="DI18" t="s">
        <v>776</v>
      </c>
      <c r="DJ18" t="s">
        <v>777</v>
      </c>
      <c r="DK18">
        <v>101</v>
      </c>
      <c r="DL18">
        <v>25</v>
      </c>
      <c r="DM18">
        <v>83.049504950499994</v>
      </c>
      <c r="DN18">
        <v>38</v>
      </c>
      <c r="DO18">
        <v>2</v>
      </c>
      <c r="DP18">
        <v>132.8947368421</v>
      </c>
      <c r="DQ18">
        <v>162.5</v>
      </c>
    </row>
    <row r="19" spans="2:121" x14ac:dyDescent="0.2">
      <c r="B19" t="s">
        <v>129</v>
      </c>
      <c r="C19">
        <v>40</v>
      </c>
      <c r="D19">
        <v>27</v>
      </c>
      <c r="F19" t="s">
        <v>71</v>
      </c>
      <c r="G19">
        <v>3238</v>
      </c>
      <c r="H19">
        <v>476.3372452131</v>
      </c>
      <c r="I19">
        <v>3464</v>
      </c>
      <c r="J19">
        <v>726</v>
      </c>
      <c r="K19">
        <v>3702</v>
      </c>
      <c r="L19">
        <v>2684</v>
      </c>
      <c r="M19">
        <v>408</v>
      </c>
      <c r="N19">
        <v>287</v>
      </c>
      <c r="O19">
        <v>1021</v>
      </c>
      <c r="P19">
        <v>749</v>
      </c>
      <c r="Q19">
        <v>0</v>
      </c>
      <c r="R19">
        <v>113</v>
      </c>
      <c r="T19" t="s">
        <v>468</v>
      </c>
      <c r="U19">
        <v>328709</v>
      </c>
      <c r="V19">
        <v>386.52392541730001</v>
      </c>
      <c r="W19">
        <v>335224</v>
      </c>
      <c r="X19">
        <v>73951</v>
      </c>
      <c r="Y19">
        <v>477733</v>
      </c>
      <c r="Z19">
        <v>307983</v>
      </c>
      <c r="AA19">
        <v>110715</v>
      </c>
      <c r="AB19">
        <v>72731</v>
      </c>
      <c r="AC19">
        <v>140148</v>
      </c>
      <c r="AD19">
        <v>87342</v>
      </c>
      <c r="AE19">
        <v>19167</v>
      </c>
      <c r="AF19">
        <v>4018</v>
      </c>
      <c r="AH19" t="s">
        <v>429</v>
      </c>
      <c r="AI19">
        <v>2079</v>
      </c>
      <c r="AJ19">
        <v>234.24915824920001</v>
      </c>
      <c r="AK19">
        <v>2783</v>
      </c>
      <c r="AL19">
        <v>519</v>
      </c>
      <c r="AM19">
        <v>3342</v>
      </c>
      <c r="AN19">
        <v>1609</v>
      </c>
      <c r="AO19">
        <v>779</v>
      </c>
      <c r="AP19">
        <v>315</v>
      </c>
      <c r="AQ19">
        <v>568</v>
      </c>
      <c r="AR19">
        <v>254</v>
      </c>
      <c r="AS19">
        <v>7</v>
      </c>
      <c r="AT19">
        <v>13</v>
      </c>
      <c r="AV19" t="s">
        <v>389</v>
      </c>
      <c r="AW19">
        <v>1252</v>
      </c>
      <c r="AX19">
        <v>107.947284345</v>
      </c>
      <c r="AY19">
        <v>1516</v>
      </c>
      <c r="AZ19">
        <v>307</v>
      </c>
      <c r="BA19">
        <v>1781</v>
      </c>
      <c r="BB19">
        <v>597</v>
      </c>
      <c r="BC19">
        <v>53</v>
      </c>
      <c r="BD19">
        <v>50</v>
      </c>
      <c r="BE19">
        <v>136</v>
      </c>
      <c r="BF19">
        <v>47</v>
      </c>
      <c r="BG19">
        <v>322</v>
      </c>
      <c r="BH19">
        <v>461</v>
      </c>
      <c r="BJ19" t="s">
        <v>640</v>
      </c>
      <c r="BK19" t="s">
        <v>397</v>
      </c>
      <c r="BL19">
        <v>843</v>
      </c>
      <c r="BM19">
        <v>151</v>
      </c>
      <c r="BN19">
        <v>76.672597864799997</v>
      </c>
      <c r="BO19">
        <v>725</v>
      </c>
      <c r="BP19">
        <v>111</v>
      </c>
      <c r="BQ19">
        <v>102.1586206897</v>
      </c>
      <c r="BR19">
        <v>93</v>
      </c>
      <c r="BS19">
        <v>1251</v>
      </c>
      <c r="BT19">
        <v>346</v>
      </c>
      <c r="BU19">
        <v>96.017585931300005</v>
      </c>
      <c r="BV19">
        <v>995</v>
      </c>
      <c r="BW19">
        <v>174</v>
      </c>
      <c r="BX19">
        <v>143.12261306529999</v>
      </c>
      <c r="BY19">
        <v>116.8390804598</v>
      </c>
      <c r="CA19" t="s">
        <v>406</v>
      </c>
      <c r="CB19" t="s">
        <v>814</v>
      </c>
      <c r="CC19" t="s">
        <v>1012</v>
      </c>
      <c r="CD19">
        <v>2336</v>
      </c>
      <c r="CE19">
        <v>377</v>
      </c>
      <c r="CF19">
        <v>78.633133561600005</v>
      </c>
      <c r="CG19">
        <v>1894</v>
      </c>
      <c r="CH19">
        <v>312</v>
      </c>
      <c r="CI19">
        <v>110.90126715949999</v>
      </c>
      <c r="CJ19">
        <v>106.71474358970001</v>
      </c>
      <c r="CL19" t="s">
        <v>406</v>
      </c>
      <c r="CM19" t="s">
        <v>789</v>
      </c>
      <c r="CN19" t="s">
        <v>791</v>
      </c>
      <c r="CO19">
        <v>260</v>
      </c>
      <c r="CP19">
        <v>12</v>
      </c>
      <c r="CQ19">
        <v>52.9384615385</v>
      </c>
      <c r="CR19">
        <v>328</v>
      </c>
      <c r="CS19">
        <v>49</v>
      </c>
      <c r="CT19">
        <v>65.567073170699999</v>
      </c>
      <c r="CU19">
        <v>67.265306122400006</v>
      </c>
      <c r="CW19" t="s">
        <v>406</v>
      </c>
      <c r="CX19" t="s">
        <v>802</v>
      </c>
      <c r="CY19" t="s">
        <v>804</v>
      </c>
      <c r="CZ19">
        <v>57</v>
      </c>
      <c r="DA19">
        <v>8</v>
      </c>
      <c r="DB19">
        <v>79.614035087700003</v>
      </c>
      <c r="DC19">
        <v>21</v>
      </c>
      <c r="DD19">
        <v>3</v>
      </c>
      <c r="DE19">
        <v>125.7619047619</v>
      </c>
      <c r="DF19">
        <v>111.6666666667</v>
      </c>
      <c r="DH19" t="s">
        <v>406</v>
      </c>
      <c r="DI19" t="s">
        <v>776</v>
      </c>
      <c r="DJ19" t="s">
        <v>778</v>
      </c>
      <c r="DK19">
        <v>34</v>
      </c>
      <c r="DL19">
        <v>3</v>
      </c>
      <c r="DM19">
        <v>69.882352941199997</v>
      </c>
      <c r="DN19">
        <v>30</v>
      </c>
      <c r="DO19">
        <v>6</v>
      </c>
      <c r="DP19">
        <v>126.4</v>
      </c>
      <c r="DQ19">
        <v>97.333333333300004</v>
      </c>
    </row>
    <row r="20" spans="2:121" x14ac:dyDescent="0.2">
      <c r="B20" t="s">
        <v>122</v>
      </c>
      <c r="C20">
        <v>11040</v>
      </c>
      <c r="D20">
        <v>3008</v>
      </c>
      <c r="F20" t="s">
        <v>77</v>
      </c>
      <c r="G20">
        <v>239</v>
      </c>
      <c r="H20">
        <v>101.0209205021</v>
      </c>
      <c r="I20">
        <v>759</v>
      </c>
      <c r="J20">
        <v>159</v>
      </c>
      <c r="K20">
        <v>494</v>
      </c>
      <c r="L20">
        <v>109</v>
      </c>
      <c r="M20">
        <v>400</v>
      </c>
      <c r="N20">
        <v>177</v>
      </c>
      <c r="O20">
        <v>29</v>
      </c>
      <c r="P20">
        <v>13</v>
      </c>
      <c r="Q20">
        <v>0</v>
      </c>
      <c r="R20">
        <v>0</v>
      </c>
      <c r="AH20" t="s">
        <v>400</v>
      </c>
      <c r="AI20">
        <v>6916</v>
      </c>
      <c r="AJ20">
        <v>538.44360902259996</v>
      </c>
      <c r="AK20">
        <v>4035</v>
      </c>
      <c r="AL20">
        <v>811</v>
      </c>
      <c r="AM20">
        <v>10429</v>
      </c>
      <c r="AN20">
        <v>6900</v>
      </c>
      <c r="AO20">
        <v>2614</v>
      </c>
      <c r="AP20">
        <v>2177</v>
      </c>
      <c r="AQ20">
        <v>1202</v>
      </c>
      <c r="AR20">
        <v>548</v>
      </c>
      <c r="AS20">
        <v>482</v>
      </c>
      <c r="AT20">
        <v>139</v>
      </c>
      <c r="AV20" t="s">
        <v>8</v>
      </c>
      <c r="AW20">
        <v>139</v>
      </c>
      <c r="AX20">
        <v>106.05035971220001</v>
      </c>
      <c r="AY20">
        <v>193</v>
      </c>
      <c r="AZ20">
        <v>84</v>
      </c>
      <c r="BA20">
        <v>296</v>
      </c>
      <c r="BB20">
        <v>162</v>
      </c>
      <c r="BC20">
        <v>13</v>
      </c>
      <c r="BD20">
        <v>10</v>
      </c>
      <c r="BE20">
        <v>14</v>
      </c>
      <c r="BF20">
        <v>8</v>
      </c>
      <c r="BG20">
        <v>46</v>
      </c>
      <c r="BH20">
        <v>17</v>
      </c>
      <c r="BJ20" t="s">
        <v>568</v>
      </c>
      <c r="BK20" t="s">
        <v>397</v>
      </c>
      <c r="BL20">
        <v>4912</v>
      </c>
      <c r="BM20">
        <v>872</v>
      </c>
      <c r="BN20">
        <v>85.472719869700001</v>
      </c>
      <c r="BO20">
        <v>3330</v>
      </c>
      <c r="BP20">
        <v>576</v>
      </c>
      <c r="BQ20">
        <v>129.69849849849999</v>
      </c>
      <c r="BR20">
        <v>133.4479166667</v>
      </c>
      <c r="BS20">
        <v>5308</v>
      </c>
      <c r="BT20">
        <v>1163</v>
      </c>
      <c r="BU20">
        <v>93.885079125800004</v>
      </c>
      <c r="BV20">
        <v>3635</v>
      </c>
      <c r="BW20">
        <v>632</v>
      </c>
      <c r="BX20">
        <v>134.6748280605</v>
      </c>
      <c r="BY20">
        <v>139.5</v>
      </c>
      <c r="CA20" t="s">
        <v>429</v>
      </c>
      <c r="CB20" t="s">
        <v>814</v>
      </c>
      <c r="CC20" t="s">
        <v>1013</v>
      </c>
      <c r="CD20">
        <v>2711</v>
      </c>
      <c r="CE20">
        <v>492</v>
      </c>
      <c r="CF20">
        <v>85.176318701599996</v>
      </c>
      <c r="CG20">
        <v>1912</v>
      </c>
      <c r="CH20">
        <v>332</v>
      </c>
      <c r="CI20">
        <v>131.8117154812</v>
      </c>
      <c r="CJ20">
        <v>131.56626506020001</v>
      </c>
      <c r="CL20" t="s">
        <v>429</v>
      </c>
      <c r="CM20" t="s">
        <v>789</v>
      </c>
      <c r="CN20" t="s">
        <v>792</v>
      </c>
      <c r="CO20">
        <v>207</v>
      </c>
      <c r="CP20">
        <v>17</v>
      </c>
      <c r="CQ20">
        <v>64.309178743999993</v>
      </c>
      <c r="CR20">
        <v>301</v>
      </c>
      <c r="CS20">
        <v>53</v>
      </c>
      <c r="CT20">
        <v>68.039867109599996</v>
      </c>
      <c r="CU20">
        <v>66.547169811299995</v>
      </c>
      <c r="CW20" t="s">
        <v>429</v>
      </c>
      <c r="CX20" t="s">
        <v>802</v>
      </c>
      <c r="CY20" t="s">
        <v>805</v>
      </c>
      <c r="CZ20">
        <v>82</v>
      </c>
      <c r="DA20">
        <v>8</v>
      </c>
      <c r="DB20">
        <v>64.597560975600004</v>
      </c>
      <c r="DC20">
        <v>31</v>
      </c>
      <c r="DD20">
        <v>2</v>
      </c>
      <c r="DE20">
        <v>102.9032258065</v>
      </c>
      <c r="DF20">
        <v>100.5</v>
      </c>
      <c r="DH20" t="s">
        <v>429</v>
      </c>
      <c r="DI20" t="s">
        <v>776</v>
      </c>
      <c r="DJ20" t="s">
        <v>779</v>
      </c>
      <c r="DK20">
        <v>159</v>
      </c>
      <c r="DL20">
        <v>16</v>
      </c>
      <c r="DM20">
        <v>68.320754717</v>
      </c>
      <c r="DN20">
        <v>67</v>
      </c>
      <c r="DO20">
        <v>14</v>
      </c>
      <c r="DP20">
        <v>113.0298507463</v>
      </c>
      <c r="DQ20">
        <v>118.6428571429</v>
      </c>
    </row>
    <row r="21" spans="2:121" x14ac:dyDescent="0.2">
      <c r="B21" t="s">
        <v>321</v>
      </c>
      <c r="C21">
        <v>1</v>
      </c>
      <c r="D21">
        <v>1</v>
      </c>
      <c r="F21" t="s">
        <v>8</v>
      </c>
      <c r="G21">
        <v>53</v>
      </c>
      <c r="H21">
        <v>882.22641509430002</v>
      </c>
      <c r="I21">
        <v>7</v>
      </c>
      <c r="K21">
        <v>56</v>
      </c>
      <c r="L21">
        <v>52</v>
      </c>
      <c r="M21">
        <v>2</v>
      </c>
      <c r="N21">
        <v>1</v>
      </c>
      <c r="O21">
        <v>35915</v>
      </c>
      <c r="P21">
        <v>11845</v>
      </c>
      <c r="Q21">
        <v>0</v>
      </c>
      <c r="R21">
        <v>1</v>
      </c>
      <c r="AH21" t="s">
        <v>394</v>
      </c>
      <c r="AI21">
        <v>5847</v>
      </c>
      <c r="AJ21">
        <v>434.2266119377</v>
      </c>
      <c r="AK21">
        <v>5905</v>
      </c>
      <c r="AL21">
        <v>1101</v>
      </c>
      <c r="AM21">
        <v>8542</v>
      </c>
      <c r="AN21">
        <v>5534</v>
      </c>
      <c r="AO21">
        <v>1641</v>
      </c>
      <c r="AP21">
        <v>1123</v>
      </c>
      <c r="AQ21">
        <v>1841</v>
      </c>
      <c r="AR21">
        <v>962</v>
      </c>
      <c r="AS21">
        <v>251</v>
      </c>
      <c r="AT21">
        <v>247</v>
      </c>
      <c r="AV21" t="s">
        <v>383</v>
      </c>
      <c r="AW21">
        <v>376</v>
      </c>
      <c r="AX21">
        <v>98.343085106399997</v>
      </c>
      <c r="AY21">
        <v>650</v>
      </c>
      <c r="AZ21">
        <v>128</v>
      </c>
      <c r="BA21">
        <v>511</v>
      </c>
      <c r="BB21">
        <v>170</v>
      </c>
      <c r="BC21">
        <v>19</v>
      </c>
      <c r="BD21">
        <v>16</v>
      </c>
      <c r="BE21">
        <v>54</v>
      </c>
      <c r="BF21">
        <v>20</v>
      </c>
      <c r="BG21">
        <v>81</v>
      </c>
      <c r="BH21">
        <v>168</v>
      </c>
      <c r="BJ21" t="s">
        <v>585</v>
      </c>
      <c r="BK21" t="s">
        <v>397</v>
      </c>
      <c r="BL21">
        <v>2107</v>
      </c>
      <c r="BM21">
        <v>227</v>
      </c>
      <c r="BN21">
        <v>71.142857142899999</v>
      </c>
      <c r="BO21">
        <v>1304</v>
      </c>
      <c r="BP21">
        <v>209</v>
      </c>
      <c r="BQ21">
        <v>116.26917177910001</v>
      </c>
      <c r="BR21">
        <v>129.6267942584</v>
      </c>
      <c r="BS21">
        <v>5950</v>
      </c>
      <c r="BT21">
        <v>1454</v>
      </c>
      <c r="BU21">
        <v>95.321848739499998</v>
      </c>
      <c r="BV21">
        <v>3787</v>
      </c>
      <c r="BW21">
        <v>631</v>
      </c>
      <c r="BX21">
        <v>146.7398996567</v>
      </c>
      <c r="BY21">
        <v>160.0824088748</v>
      </c>
      <c r="CA21" t="s">
        <v>402</v>
      </c>
      <c r="CB21" t="s">
        <v>814</v>
      </c>
      <c r="CC21" t="s">
        <v>1014</v>
      </c>
      <c r="CD21">
        <v>7396</v>
      </c>
      <c r="CE21">
        <v>1704</v>
      </c>
      <c r="CF21">
        <v>96.847349918899994</v>
      </c>
      <c r="CG21">
        <v>4414</v>
      </c>
      <c r="CH21">
        <v>848</v>
      </c>
      <c r="CI21">
        <v>147.6352514726</v>
      </c>
      <c r="CJ21">
        <v>135.8125</v>
      </c>
      <c r="CL21" t="s">
        <v>402</v>
      </c>
      <c r="CM21" t="s">
        <v>789</v>
      </c>
      <c r="CN21" t="s">
        <v>793</v>
      </c>
      <c r="CO21">
        <v>849</v>
      </c>
      <c r="CP21">
        <v>69</v>
      </c>
      <c r="CQ21">
        <v>64.511189634900006</v>
      </c>
      <c r="CR21">
        <v>994</v>
      </c>
      <c r="CS21">
        <v>200</v>
      </c>
      <c r="CT21">
        <v>69.312877263600001</v>
      </c>
      <c r="CU21">
        <v>76.344999999999999</v>
      </c>
      <c r="CW21" t="s">
        <v>402</v>
      </c>
      <c r="CX21" t="s">
        <v>802</v>
      </c>
      <c r="CY21" t="s">
        <v>806</v>
      </c>
      <c r="CZ21">
        <v>186</v>
      </c>
      <c r="DA21">
        <v>33</v>
      </c>
      <c r="DB21">
        <v>84.064516128999998</v>
      </c>
      <c r="DC21">
        <v>59</v>
      </c>
      <c r="DD21">
        <v>15</v>
      </c>
      <c r="DE21">
        <v>137.1355932203</v>
      </c>
      <c r="DF21">
        <v>129.26666666669999</v>
      </c>
      <c r="DH21" t="s">
        <v>402</v>
      </c>
      <c r="DI21" t="s">
        <v>776</v>
      </c>
      <c r="DJ21" t="s">
        <v>780</v>
      </c>
      <c r="DK21">
        <v>119</v>
      </c>
      <c r="DL21">
        <v>24</v>
      </c>
      <c r="DM21">
        <v>74.1344537815</v>
      </c>
      <c r="DN21">
        <v>73</v>
      </c>
      <c r="DO21">
        <v>11</v>
      </c>
      <c r="DP21">
        <v>131.13698630139999</v>
      </c>
      <c r="DQ21">
        <v>150.63636363640001</v>
      </c>
    </row>
    <row r="22" spans="2:121" x14ac:dyDescent="0.2">
      <c r="B22" t="s">
        <v>115</v>
      </c>
      <c r="C22">
        <v>14287</v>
      </c>
      <c r="D22">
        <v>11989</v>
      </c>
      <c r="F22" t="s">
        <v>47</v>
      </c>
      <c r="G22">
        <v>1396</v>
      </c>
      <c r="H22">
        <v>289.9097421203</v>
      </c>
      <c r="I22">
        <v>1860</v>
      </c>
      <c r="J22">
        <v>349</v>
      </c>
      <c r="K22">
        <v>3055</v>
      </c>
      <c r="L22">
        <v>1936</v>
      </c>
      <c r="M22">
        <v>540</v>
      </c>
      <c r="N22">
        <v>255</v>
      </c>
      <c r="O22">
        <v>742</v>
      </c>
      <c r="P22">
        <v>578</v>
      </c>
      <c r="Q22">
        <v>0</v>
      </c>
      <c r="R22">
        <v>5</v>
      </c>
      <c r="AH22" t="s">
        <v>423</v>
      </c>
      <c r="AI22">
        <v>1450</v>
      </c>
      <c r="AJ22">
        <v>285.86965517239997</v>
      </c>
      <c r="AK22">
        <v>1201</v>
      </c>
      <c r="AL22">
        <v>187</v>
      </c>
      <c r="AM22">
        <v>2068</v>
      </c>
      <c r="AN22">
        <v>1254</v>
      </c>
      <c r="AO22">
        <v>1082</v>
      </c>
      <c r="AP22">
        <v>793</v>
      </c>
      <c r="AQ22">
        <v>312</v>
      </c>
      <c r="AR22">
        <v>195</v>
      </c>
      <c r="AS22">
        <v>360</v>
      </c>
      <c r="AT22">
        <v>3</v>
      </c>
      <c r="AV22" t="s">
        <v>429</v>
      </c>
      <c r="AW22">
        <v>74</v>
      </c>
      <c r="AX22">
        <v>47.297297297299998</v>
      </c>
      <c r="AY22">
        <v>210</v>
      </c>
      <c r="AZ22">
        <v>5</v>
      </c>
      <c r="BA22">
        <v>116</v>
      </c>
      <c r="BB22">
        <v>3</v>
      </c>
      <c r="BC22">
        <v>1</v>
      </c>
      <c r="BD22">
        <v>1</v>
      </c>
      <c r="BE22">
        <v>4</v>
      </c>
      <c r="BF22">
        <v>1</v>
      </c>
      <c r="BG22">
        <v>134</v>
      </c>
      <c r="BH22">
        <v>25</v>
      </c>
      <c r="BJ22" t="s">
        <v>397</v>
      </c>
      <c r="BK22" t="s">
        <v>397</v>
      </c>
      <c r="BL22">
        <v>53428</v>
      </c>
      <c r="BM22">
        <v>10980</v>
      </c>
      <c r="BN22">
        <v>89.805345511699997</v>
      </c>
      <c r="BO22">
        <v>34890</v>
      </c>
      <c r="BP22">
        <v>6345</v>
      </c>
      <c r="BQ22">
        <v>129.97813126969999</v>
      </c>
      <c r="BR22">
        <v>127.977462569</v>
      </c>
      <c r="BS22">
        <v>57648</v>
      </c>
      <c r="BT22">
        <v>13998</v>
      </c>
      <c r="BU22">
        <v>97.932070496799994</v>
      </c>
      <c r="BV22">
        <v>40468</v>
      </c>
      <c r="BW22">
        <v>7205</v>
      </c>
      <c r="BX22">
        <v>138.8711821686</v>
      </c>
      <c r="BY22">
        <v>137.55475364329999</v>
      </c>
      <c r="CA22" t="s">
        <v>408</v>
      </c>
      <c r="CB22" t="s">
        <v>814</v>
      </c>
      <c r="CC22" t="s">
        <v>1015</v>
      </c>
      <c r="CD22">
        <v>5036</v>
      </c>
      <c r="CE22">
        <v>938</v>
      </c>
      <c r="CF22">
        <v>84.518069896699998</v>
      </c>
      <c r="CG22">
        <v>4223</v>
      </c>
      <c r="CH22">
        <v>735</v>
      </c>
      <c r="CI22">
        <v>113.8231115321</v>
      </c>
      <c r="CJ22">
        <v>115.39863945579999</v>
      </c>
      <c r="CL22" t="s">
        <v>408</v>
      </c>
      <c r="CM22" t="s">
        <v>789</v>
      </c>
      <c r="CN22" t="s">
        <v>794</v>
      </c>
      <c r="CO22">
        <v>266</v>
      </c>
      <c r="CP22">
        <v>18</v>
      </c>
      <c r="CQ22">
        <v>60.206766917300001</v>
      </c>
      <c r="CR22">
        <v>425</v>
      </c>
      <c r="CS22">
        <v>62</v>
      </c>
      <c r="CT22">
        <v>54.152941176500001</v>
      </c>
      <c r="CU22">
        <v>64.0161290323</v>
      </c>
      <c r="CW22" t="s">
        <v>408</v>
      </c>
      <c r="CX22" t="s">
        <v>802</v>
      </c>
      <c r="CY22" t="s">
        <v>807</v>
      </c>
      <c r="CZ22">
        <v>81</v>
      </c>
      <c r="DA22">
        <v>11</v>
      </c>
      <c r="DB22">
        <v>77.259259259299995</v>
      </c>
      <c r="DC22">
        <v>34</v>
      </c>
      <c r="DD22">
        <v>8</v>
      </c>
      <c r="DE22">
        <v>118</v>
      </c>
      <c r="DF22">
        <v>107</v>
      </c>
      <c r="DH22" t="s">
        <v>408</v>
      </c>
      <c r="DI22" t="s">
        <v>776</v>
      </c>
      <c r="DJ22" t="s">
        <v>781</v>
      </c>
      <c r="DK22">
        <v>38</v>
      </c>
      <c r="DL22">
        <v>11</v>
      </c>
      <c r="DM22">
        <v>86.342105263199997</v>
      </c>
      <c r="DN22">
        <v>21</v>
      </c>
      <c r="DO22">
        <v>5</v>
      </c>
      <c r="DP22">
        <v>108.3333333333</v>
      </c>
      <c r="DQ22">
        <v>126.6</v>
      </c>
    </row>
    <row r="23" spans="2:121" x14ac:dyDescent="0.2">
      <c r="B23" t="s">
        <v>116</v>
      </c>
      <c r="C23">
        <v>1735</v>
      </c>
      <c r="D23">
        <v>558</v>
      </c>
      <c r="F23" t="s">
        <v>46</v>
      </c>
      <c r="G23">
        <v>80</v>
      </c>
      <c r="H23">
        <v>93.3125</v>
      </c>
      <c r="I23">
        <v>815</v>
      </c>
      <c r="J23">
        <v>152</v>
      </c>
      <c r="K23">
        <v>229</v>
      </c>
      <c r="L23">
        <v>22</v>
      </c>
      <c r="M23">
        <v>69</v>
      </c>
      <c r="N23">
        <v>17</v>
      </c>
      <c r="O23">
        <v>64</v>
      </c>
      <c r="P23">
        <v>29</v>
      </c>
      <c r="Q23">
        <v>0</v>
      </c>
      <c r="R23">
        <v>0</v>
      </c>
      <c r="AH23" t="s">
        <v>383</v>
      </c>
      <c r="AI23">
        <v>8599</v>
      </c>
      <c r="AJ23">
        <v>628.06558902200004</v>
      </c>
      <c r="AK23">
        <v>5879</v>
      </c>
      <c r="AL23">
        <v>1262</v>
      </c>
      <c r="AM23">
        <v>11716</v>
      </c>
      <c r="AN23">
        <v>8401</v>
      </c>
      <c r="AO23">
        <v>2862</v>
      </c>
      <c r="AP23">
        <v>2032</v>
      </c>
      <c r="AQ23">
        <v>6777</v>
      </c>
      <c r="AR23">
        <v>5497</v>
      </c>
      <c r="AS23">
        <v>426</v>
      </c>
      <c r="AT23">
        <v>4</v>
      </c>
      <c r="AV23" t="s">
        <v>381</v>
      </c>
      <c r="AW23">
        <v>463</v>
      </c>
      <c r="AX23">
        <v>102.39956803459999</v>
      </c>
      <c r="AY23">
        <v>785</v>
      </c>
      <c r="AZ23">
        <v>166</v>
      </c>
      <c r="BA23">
        <v>612</v>
      </c>
      <c r="BB23">
        <v>213</v>
      </c>
      <c r="BC23">
        <v>12</v>
      </c>
      <c r="BD23">
        <v>12</v>
      </c>
      <c r="BE23">
        <v>51</v>
      </c>
      <c r="BF23">
        <v>13</v>
      </c>
      <c r="BG23">
        <v>84</v>
      </c>
      <c r="BH23">
        <v>200</v>
      </c>
      <c r="BJ23" t="s">
        <v>578</v>
      </c>
      <c r="BK23" t="s">
        <v>397</v>
      </c>
      <c r="BL23">
        <v>4148</v>
      </c>
      <c r="BM23">
        <v>746</v>
      </c>
      <c r="BN23">
        <v>82.707087753099998</v>
      </c>
      <c r="BO23">
        <v>2668</v>
      </c>
      <c r="BP23">
        <v>494</v>
      </c>
      <c r="BQ23">
        <v>122.9314092954</v>
      </c>
      <c r="BR23">
        <v>125.7004048583</v>
      </c>
      <c r="BS23">
        <v>4670</v>
      </c>
      <c r="BT23">
        <v>1262</v>
      </c>
      <c r="BU23">
        <v>101.1389721627</v>
      </c>
      <c r="BV23">
        <v>3357</v>
      </c>
      <c r="BW23">
        <v>594</v>
      </c>
      <c r="BX23">
        <v>145.95948763780001</v>
      </c>
      <c r="BY23">
        <v>151.45622895619999</v>
      </c>
      <c r="CA23" t="s">
        <v>404</v>
      </c>
      <c r="CB23" t="s">
        <v>814</v>
      </c>
      <c r="CC23" t="s">
        <v>1016</v>
      </c>
      <c r="CD23">
        <v>5948</v>
      </c>
      <c r="CE23">
        <v>923</v>
      </c>
      <c r="CF23">
        <v>78.649798251500002</v>
      </c>
      <c r="CG23">
        <v>3990</v>
      </c>
      <c r="CH23">
        <v>781</v>
      </c>
      <c r="CI23">
        <v>120.01052631580001</v>
      </c>
      <c r="CJ23">
        <v>116.1101152369</v>
      </c>
      <c r="CL23" t="s">
        <v>404</v>
      </c>
      <c r="CM23" t="s">
        <v>789</v>
      </c>
      <c r="CN23" t="s">
        <v>795</v>
      </c>
      <c r="CO23">
        <v>575</v>
      </c>
      <c r="CP23">
        <v>54</v>
      </c>
      <c r="CQ23">
        <v>64.913043478299997</v>
      </c>
      <c r="CR23">
        <v>669</v>
      </c>
      <c r="CS23">
        <v>110</v>
      </c>
      <c r="CT23">
        <v>69.801195814600007</v>
      </c>
      <c r="CU23">
        <v>78.5</v>
      </c>
      <c r="CW23" t="s">
        <v>404</v>
      </c>
      <c r="CX23" t="s">
        <v>802</v>
      </c>
      <c r="CY23" t="s">
        <v>808</v>
      </c>
      <c r="CZ23">
        <v>183</v>
      </c>
      <c r="DA23">
        <v>25</v>
      </c>
      <c r="DB23">
        <v>74.939890710399993</v>
      </c>
      <c r="DC23">
        <v>83</v>
      </c>
      <c r="DD23">
        <v>17</v>
      </c>
      <c r="DE23">
        <v>125.4337349398</v>
      </c>
      <c r="DF23">
        <v>119.1764705882</v>
      </c>
      <c r="DH23" t="s">
        <v>404</v>
      </c>
      <c r="DI23" t="s">
        <v>776</v>
      </c>
      <c r="DJ23" t="s">
        <v>782</v>
      </c>
      <c r="DK23">
        <v>171</v>
      </c>
      <c r="DL23">
        <v>29</v>
      </c>
      <c r="DM23">
        <v>78.473684210499997</v>
      </c>
      <c r="DN23">
        <v>69</v>
      </c>
      <c r="DO23">
        <v>17</v>
      </c>
      <c r="DP23">
        <v>130.9565217391</v>
      </c>
      <c r="DQ23">
        <v>121.8235294118</v>
      </c>
    </row>
    <row r="24" spans="2:121" x14ac:dyDescent="0.2">
      <c r="B24" t="s">
        <v>110</v>
      </c>
      <c r="C24">
        <v>24609</v>
      </c>
      <c r="D24">
        <v>40</v>
      </c>
      <c r="F24" t="s">
        <v>42</v>
      </c>
      <c r="G24">
        <v>10491</v>
      </c>
      <c r="H24">
        <v>294.90372700410001</v>
      </c>
      <c r="I24">
        <v>8857</v>
      </c>
      <c r="J24">
        <v>2419</v>
      </c>
      <c r="K24">
        <v>19428</v>
      </c>
      <c r="L24">
        <v>12327</v>
      </c>
      <c r="M24">
        <v>2911</v>
      </c>
      <c r="N24">
        <v>2004</v>
      </c>
      <c r="O24">
        <v>1364</v>
      </c>
      <c r="P24">
        <v>925</v>
      </c>
      <c r="Q24">
        <v>1</v>
      </c>
      <c r="R24">
        <v>53</v>
      </c>
      <c r="T24" t="s">
        <v>654</v>
      </c>
      <c r="U24" t="s">
        <v>312</v>
      </c>
      <c r="V24" t="s">
        <v>139</v>
      </c>
      <c r="W24" t="s">
        <v>220</v>
      </c>
      <c r="X24" t="s">
        <v>221</v>
      </c>
      <c r="Y24" t="s">
        <v>222</v>
      </c>
      <c r="Z24" t="s">
        <v>223</v>
      </c>
      <c r="AA24" t="s">
        <v>224</v>
      </c>
      <c r="AB24" t="s">
        <v>225</v>
      </c>
      <c r="AC24" t="s">
        <v>226</v>
      </c>
      <c r="AD24" t="s">
        <v>227</v>
      </c>
      <c r="AE24" t="s">
        <v>228</v>
      </c>
      <c r="AF24" t="s">
        <v>229</v>
      </c>
      <c r="AH24" t="s">
        <v>378</v>
      </c>
      <c r="AI24">
        <v>4837</v>
      </c>
      <c r="AJ24">
        <v>527.91606367580005</v>
      </c>
      <c r="AK24">
        <v>4363</v>
      </c>
      <c r="AL24">
        <v>1175</v>
      </c>
      <c r="AM24">
        <v>7130</v>
      </c>
      <c r="AN24">
        <v>5021</v>
      </c>
      <c r="AO24">
        <v>2836</v>
      </c>
      <c r="AP24">
        <v>2216</v>
      </c>
      <c r="AQ24">
        <v>1390</v>
      </c>
      <c r="AR24">
        <v>1073</v>
      </c>
      <c r="AS24">
        <v>759</v>
      </c>
      <c r="AT24">
        <v>8</v>
      </c>
      <c r="AV24" t="s">
        <v>83</v>
      </c>
      <c r="AW24">
        <v>135</v>
      </c>
      <c r="AX24">
        <v>40.540740740700002</v>
      </c>
      <c r="AY24">
        <v>450</v>
      </c>
      <c r="AZ24">
        <v>15</v>
      </c>
      <c r="BA24">
        <v>274</v>
      </c>
      <c r="BB24">
        <v>24</v>
      </c>
      <c r="BC24">
        <v>1</v>
      </c>
      <c r="BE24">
        <v>16</v>
      </c>
      <c r="BF24">
        <v>4</v>
      </c>
      <c r="BG24">
        <v>361</v>
      </c>
      <c r="BH24">
        <v>49</v>
      </c>
      <c r="BJ24" t="s">
        <v>642</v>
      </c>
      <c r="BK24" t="s">
        <v>397</v>
      </c>
      <c r="BL24">
        <v>825</v>
      </c>
      <c r="BM24">
        <v>159</v>
      </c>
      <c r="BN24">
        <v>78.007272727300005</v>
      </c>
      <c r="BO24">
        <v>680</v>
      </c>
      <c r="BP24">
        <v>117</v>
      </c>
      <c r="BQ24">
        <v>108.0058823529</v>
      </c>
      <c r="BR24">
        <v>105.7948717949</v>
      </c>
      <c r="BS24">
        <v>1553</v>
      </c>
      <c r="BT24">
        <v>430</v>
      </c>
      <c r="BU24">
        <v>101.6625885383</v>
      </c>
      <c r="BV24">
        <v>1207</v>
      </c>
      <c r="BW24">
        <v>198</v>
      </c>
      <c r="BX24">
        <v>138.92792046400001</v>
      </c>
      <c r="BY24">
        <v>136.3888888889</v>
      </c>
      <c r="CA24" t="s">
        <v>407</v>
      </c>
      <c r="CB24" t="s">
        <v>814</v>
      </c>
      <c r="CC24" t="s">
        <v>1017</v>
      </c>
      <c r="CD24">
        <v>2104</v>
      </c>
      <c r="CE24">
        <v>235</v>
      </c>
      <c r="CF24">
        <v>71.022813688200003</v>
      </c>
      <c r="CG24">
        <v>1367</v>
      </c>
      <c r="CH24">
        <v>220</v>
      </c>
      <c r="CI24">
        <v>114.2809070958</v>
      </c>
      <c r="CJ24">
        <v>122.5818181818</v>
      </c>
      <c r="CL24" t="s">
        <v>407</v>
      </c>
      <c r="CM24" t="s">
        <v>789</v>
      </c>
      <c r="CN24" t="s">
        <v>796</v>
      </c>
      <c r="CO24">
        <v>82</v>
      </c>
      <c r="CP24">
        <v>11</v>
      </c>
      <c r="CQ24">
        <v>77.414634146300003</v>
      </c>
      <c r="CR24">
        <v>120</v>
      </c>
      <c r="CS24">
        <v>16</v>
      </c>
      <c r="CT24">
        <v>65.275000000000006</v>
      </c>
      <c r="CU24">
        <v>73</v>
      </c>
      <c r="CW24" t="s">
        <v>407</v>
      </c>
      <c r="CX24" t="s">
        <v>802</v>
      </c>
      <c r="CY24" t="s">
        <v>809</v>
      </c>
      <c r="CZ24">
        <v>58</v>
      </c>
      <c r="DA24">
        <v>1</v>
      </c>
      <c r="DB24">
        <v>49.982758620699997</v>
      </c>
      <c r="DC24">
        <v>19</v>
      </c>
      <c r="DD24">
        <v>3</v>
      </c>
      <c r="DE24">
        <v>111.57894736839999</v>
      </c>
      <c r="DF24">
        <v>123.6666666667</v>
      </c>
      <c r="DH24" t="s">
        <v>407</v>
      </c>
      <c r="DI24" t="s">
        <v>776</v>
      </c>
      <c r="DJ24" t="s">
        <v>783</v>
      </c>
      <c r="DK24">
        <v>94</v>
      </c>
      <c r="DL24">
        <v>6</v>
      </c>
      <c r="DM24">
        <v>66.617021276599999</v>
      </c>
      <c r="DN24">
        <v>29</v>
      </c>
      <c r="DO24">
        <v>6</v>
      </c>
      <c r="DP24">
        <v>110.8620689655</v>
      </c>
      <c r="DQ24">
        <v>105.1666666667</v>
      </c>
    </row>
    <row r="25" spans="2:121" x14ac:dyDescent="0.2">
      <c r="B25" t="s">
        <v>108</v>
      </c>
      <c r="C25">
        <v>57</v>
      </c>
      <c r="D25">
        <v>41</v>
      </c>
      <c r="F25" t="s">
        <v>82</v>
      </c>
      <c r="G25">
        <v>12590</v>
      </c>
      <c r="H25">
        <v>326.46314535350001</v>
      </c>
      <c r="I25">
        <v>18060</v>
      </c>
      <c r="J25">
        <v>3400</v>
      </c>
      <c r="K25">
        <v>15045</v>
      </c>
      <c r="L25">
        <v>9288</v>
      </c>
      <c r="M25">
        <v>3076</v>
      </c>
      <c r="N25">
        <v>1393</v>
      </c>
      <c r="O25">
        <v>3773</v>
      </c>
      <c r="P25">
        <v>1864</v>
      </c>
      <c r="Q25">
        <v>2</v>
      </c>
      <c r="R25">
        <v>202</v>
      </c>
      <c r="T25" t="s">
        <v>392</v>
      </c>
      <c r="U25">
        <v>61144</v>
      </c>
      <c r="V25">
        <v>363.0050536439</v>
      </c>
      <c r="W25">
        <v>67616</v>
      </c>
      <c r="X25">
        <v>14312</v>
      </c>
      <c r="Y25">
        <v>86860</v>
      </c>
      <c r="Z25">
        <v>54652</v>
      </c>
      <c r="AA25">
        <v>18019</v>
      </c>
      <c r="AB25">
        <v>10526</v>
      </c>
      <c r="AC25">
        <v>21034</v>
      </c>
      <c r="AD25">
        <v>10999</v>
      </c>
      <c r="AE25">
        <v>928</v>
      </c>
      <c r="AF25">
        <v>1074</v>
      </c>
      <c r="AH25" t="s">
        <v>402</v>
      </c>
      <c r="AI25">
        <v>4426</v>
      </c>
      <c r="AJ25">
        <v>273.76683235429999</v>
      </c>
      <c r="AK25">
        <v>7648</v>
      </c>
      <c r="AL25">
        <v>1779</v>
      </c>
      <c r="AM25">
        <v>7931</v>
      </c>
      <c r="AN25">
        <v>4487</v>
      </c>
      <c r="AO25">
        <v>1404</v>
      </c>
      <c r="AP25">
        <v>764</v>
      </c>
      <c r="AQ25">
        <v>1521</v>
      </c>
      <c r="AR25">
        <v>758</v>
      </c>
      <c r="AS25">
        <v>725</v>
      </c>
      <c r="AT25">
        <v>198</v>
      </c>
      <c r="AV25" t="s">
        <v>404</v>
      </c>
      <c r="AW25">
        <v>272</v>
      </c>
      <c r="AX25">
        <v>61.286764705899998</v>
      </c>
      <c r="AY25">
        <v>716</v>
      </c>
      <c r="AZ25">
        <v>52</v>
      </c>
      <c r="BA25">
        <v>478</v>
      </c>
      <c r="BB25">
        <v>33</v>
      </c>
      <c r="BC25">
        <v>1</v>
      </c>
      <c r="BD25">
        <v>1</v>
      </c>
      <c r="BE25">
        <v>36</v>
      </c>
      <c r="BF25">
        <v>11</v>
      </c>
      <c r="BG25">
        <v>94</v>
      </c>
      <c r="BH25">
        <v>42</v>
      </c>
      <c r="BJ25" t="s">
        <v>581</v>
      </c>
      <c r="BK25" t="s">
        <v>397</v>
      </c>
      <c r="BL25">
        <v>5810</v>
      </c>
      <c r="BM25">
        <v>886</v>
      </c>
      <c r="BN25">
        <v>78.191738382099999</v>
      </c>
      <c r="BO25">
        <v>3695</v>
      </c>
      <c r="BP25">
        <v>730</v>
      </c>
      <c r="BQ25">
        <v>120.4449255751</v>
      </c>
      <c r="BR25">
        <v>117.41232876710001</v>
      </c>
      <c r="BS25">
        <v>6069</v>
      </c>
      <c r="BT25">
        <v>1133</v>
      </c>
      <c r="BU25">
        <v>82.525786785299999</v>
      </c>
      <c r="BV25">
        <v>4501</v>
      </c>
      <c r="BW25">
        <v>801</v>
      </c>
      <c r="BX25">
        <v>123.5323261497</v>
      </c>
      <c r="BY25">
        <v>124.013732834</v>
      </c>
      <c r="CA25" t="s">
        <v>426</v>
      </c>
      <c r="CB25" t="s">
        <v>814</v>
      </c>
      <c r="CC25" t="s">
        <v>1018</v>
      </c>
      <c r="CD25">
        <v>631</v>
      </c>
      <c r="CE25">
        <v>102</v>
      </c>
      <c r="CF25">
        <v>73.610142630699997</v>
      </c>
      <c r="CG25">
        <v>562</v>
      </c>
      <c r="CH25">
        <v>88</v>
      </c>
      <c r="CI25">
        <v>96.610320284699995</v>
      </c>
      <c r="CJ25">
        <v>83.25</v>
      </c>
      <c r="CL25" t="s">
        <v>426</v>
      </c>
      <c r="CM25" t="s">
        <v>789</v>
      </c>
      <c r="CN25" t="s">
        <v>797</v>
      </c>
      <c r="CO25">
        <v>46</v>
      </c>
      <c r="CP25">
        <v>2</v>
      </c>
      <c r="CQ25">
        <v>51.891304347800002</v>
      </c>
      <c r="CR25">
        <v>49</v>
      </c>
      <c r="CS25">
        <v>6</v>
      </c>
      <c r="CT25">
        <v>61.408163265299997</v>
      </c>
      <c r="CU25">
        <v>43.166666666700003</v>
      </c>
      <c r="CW25" t="s">
        <v>426</v>
      </c>
      <c r="CX25" t="s">
        <v>802</v>
      </c>
      <c r="CY25" t="s">
        <v>810</v>
      </c>
      <c r="CZ25">
        <v>15</v>
      </c>
      <c r="DA25">
        <v>1</v>
      </c>
      <c r="DB25">
        <v>68.933333333299998</v>
      </c>
      <c r="DC25">
        <v>13</v>
      </c>
      <c r="DD25">
        <v>4</v>
      </c>
      <c r="DE25">
        <v>90</v>
      </c>
      <c r="DF25">
        <v>108.75</v>
      </c>
      <c r="DH25" t="s">
        <v>426</v>
      </c>
      <c r="DI25" t="s">
        <v>776</v>
      </c>
      <c r="DJ25" t="s">
        <v>784</v>
      </c>
      <c r="DK25">
        <v>3</v>
      </c>
      <c r="DL25">
        <v>0</v>
      </c>
      <c r="DM25">
        <v>61</v>
      </c>
      <c r="DN25">
        <v>4</v>
      </c>
      <c r="DO25">
        <v>0</v>
      </c>
      <c r="DP25">
        <v>122</v>
      </c>
      <c r="DQ25">
        <v>0</v>
      </c>
    </row>
    <row r="26" spans="2:121" x14ac:dyDescent="0.2">
      <c r="B26" t="s">
        <v>99</v>
      </c>
      <c r="C26">
        <v>132675</v>
      </c>
      <c r="D26">
        <v>64536</v>
      </c>
      <c r="F26" t="s">
        <v>38</v>
      </c>
      <c r="G26">
        <v>4272</v>
      </c>
      <c r="H26">
        <v>589.27691947569997</v>
      </c>
      <c r="I26">
        <v>3343</v>
      </c>
      <c r="J26">
        <v>936</v>
      </c>
      <c r="K26">
        <v>5634</v>
      </c>
      <c r="L26">
        <v>4400</v>
      </c>
      <c r="M26">
        <v>2384</v>
      </c>
      <c r="N26">
        <v>1889</v>
      </c>
      <c r="O26">
        <v>838</v>
      </c>
      <c r="P26">
        <v>760</v>
      </c>
      <c r="Q26">
        <v>0</v>
      </c>
      <c r="R26">
        <v>2</v>
      </c>
      <c r="T26" t="s">
        <v>397</v>
      </c>
      <c r="U26">
        <v>43550</v>
      </c>
      <c r="V26">
        <v>388.3023421355</v>
      </c>
      <c r="W26">
        <v>53461</v>
      </c>
      <c r="X26">
        <v>10962</v>
      </c>
      <c r="Y26">
        <v>68997</v>
      </c>
      <c r="Z26">
        <v>40298</v>
      </c>
      <c r="AA26">
        <v>12786</v>
      </c>
      <c r="AB26">
        <v>8078</v>
      </c>
      <c r="AC26">
        <v>20675</v>
      </c>
      <c r="AD26">
        <v>12135</v>
      </c>
      <c r="AE26">
        <v>3674</v>
      </c>
      <c r="AF26">
        <v>1055</v>
      </c>
      <c r="AH26" t="s">
        <v>408</v>
      </c>
      <c r="AI26">
        <v>1397</v>
      </c>
      <c r="AJ26">
        <v>200.63779527560001</v>
      </c>
      <c r="AK26">
        <v>4938</v>
      </c>
      <c r="AL26">
        <v>954</v>
      </c>
      <c r="AM26">
        <v>3267</v>
      </c>
      <c r="AN26">
        <v>1372</v>
      </c>
      <c r="AO26">
        <v>608</v>
      </c>
      <c r="AP26">
        <v>253</v>
      </c>
      <c r="AQ26">
        <v>1076</v>
      </c>
      <c r="AR26">
        <v>591</v>
      </c>
      <c r="AS26">
        <v>7</v>
      </c>
      <c r="AT26">
        <v>4</v>
      </c>
      <c r="AV26" t="s">
        <v>414</v>
      </c>
      <c r="AW26">
        <v>615</v>
      </c>
      <c r="AX26">
        <v>41.134959349600003</v>
      </c>
      <c r="AY26">
        <v>1885</v>
      </c>
      <c r="AZ26">
        <v>72</v>
      </c>
      <c r="BA26">
        <v>936</v>
      </c>
      <c r="BB26">
        <v>32</v>
      </c>
      <c r="BC26">
        <v>9</v>
      </c>
      <c r="BD26">
        <v>7</v>
      </c>
      <c r="BE26">
        <v>69</v>
      </c>
      <c r="BF26">
        <v>28</v>
      </c>
      <c r="BG26">
        <v>1054</v>
      </c>
      <c r="BH26">
        <v>215</v>
      </c>
      <c r="BJ26" t="s">
        <v>587</v>
      </c>
      <c r="BK26" t="s">
        <v>397</v>
      </c>
      <c r="BL26">
        <v>6812</v>
      </c>
      <c r="BM26">
        <v>1394</v>
      </c>
      <c r="BN26">
        <v>88.784497944799995</v>
      </c>
      <c r="BO26">
        <v>5326</v>
      </c>
      <c r="BP26">
        <v>967</v>
      </c>
      <c r="BQ26">
        <v>120.8548629365</v>
      </c>
      <c r="BR26">
        <v>120.29782833509999</v>
      </c>
      <c r="BS26">
        <v>7729</v>
      </c>
      <c r="BT26">
        <v>1950</v>
      </c>
      <c r="BU26">
        <v>102.7577953163</v>
      </c>
      <c r="BV26">
        <v>6254</v>
      </c>
      <c r="BW26">
        <v>1115</v>
      </c>
      <c r="BX26">
        <v>139.15078349859999</v>
      </c>
      <c r="BY26">
        <v>138.8152466368</v>
      </c>
      <c r="CA26" t="s">
        <v>398</v>
      </c>
      <c r="CB26" t="s">
        <v>814</v>
      </c>
      <c r="CC26" t="s">
        <v>1019</v>
      </c>
      <c r="CD26">
        <v>8731</v>
      </c>
      <c r="CE26">
        <v>2130</v>
      </c>
      <c r="CF26">
        <v>98.391478639300004</v>
      </c>
      <c r="CG26">
        <v>5899</v>
      </c>
      <c r="CH26">
        <v>1082</v>
      </c>
      <c r="CI26">
        <v>124.5470418715</v>
      </c>
      <c r="CJ26">
        <v>123.11460258779999</v>
      </c>
      <c r="CL26" t="s">
        <v>398</v>
      </c>
      <c r="CM26" t="s">
        <v>789</v>
      </c>
      <c r="CN26" t="s">
        <v>798</v>
      </c>
      <c r="CO26">
        <v>982</v>
      </c>
      <c r="CP26">
        <v>90</v>
      </c>
      <c r="CQ26">
        <v>66.014256619099996</v>
      </c>
      <c r="CR26">
        <v>1132</v>
      </c>
      <c r="CS26">
        <v>209</v>
      </c>
      <c r="CT26">
        <v>64.228798586600007</v>
      </c>
      <c r="CU26">
        <v>68.5550239234</v>
      </c>
      <c r="CW26" t="s">
        <v>398</v>
      </c>
      <c r="CX26" t="s">
        <v>802</v>
      </c>
      <c r="CY26" t="s">
        <v>811</v>
      </c>
      <c r="CZ26">
        <v>264</v>
      </c>
      <c r="DA26">
        <v>48</v>
      </c>
      <c r="DB26">
        <v>79.545454545499993</v>
      </c>
      <c r="DC26">
        <v>94</v>
      </c>
      <c r="DD26">
        <v>18</v>
      </c>
      <c r="DE26">
        <v>133.24468085109999</v>
      </c>
      <c r="DF26">
        <v>147.8333333333</v>
      </c>
      <c r="DH26" t="s">
        <v>398</v>
      </c>
      <c r="DI26" t="s">
        <v>776</v>
      </c>
      <c r="DJ26" t="s">
        <v>785</v>
      </c>
      <c r="DK26">
        <v>156</v>
      </c>
      <c r="DL26">
        <v>34</v>
      </c>
      <c r="DM26">
        <v>84.576923076900002</v>
      </c>
      <c r="DN26">
        <v>76</v>
      </c>
      <c r="DO26">
        <v>16</v>
      </c>
      <c r="DP26">
        <v>130.01315789469999</v>
      </c>
      <c r="DQ26">
        <v>124.9375</v>
      </c>
    </row>
    <row r="27" spans="2:121" x14ac:dyDescent="0.2">
      <c r="B27" t="s">
        <v>112</v>
      </c>
      <c r="C27">
        <v>42010</v>
      </c>
      <c r="D27">
        <v>13606</v>
      </c>
      <c r="F27" t="s">
        <v>58</v>
      </c>
      <c r="G27">
        <v>857</v>
      </c>
      <c r="H27">
        <v>173.71061843640001</v>
      </c>
      <c r="I27">
        <v>832</v>
      </c>
      <c r="J27">
        <v>191</v>
      </c>
      <c r="K27">
        <v>971</v>
      </c>
      <c r="L27">
        <v>486</v>
      </c>
      <c r="M27">
        <v>231</v>
      </c>
      <c r="N27">
        <v>70</v>
      </c>
      <c r="O27">
        <v>824</v>
      </c>
      <c r="P27">
        <v>437</v>
      </c>
      <c r="Q27">
        <v>338</v>
      </c>
      <c r="R27">
        <v>134</v>
      </c>
      <c r="T27" t="s">
        <v>376</v>
      </c>
      <c r="U27">
        <v>74252</v>
      </c>
      <c r="V27">
        <v>437.9616575984</v>
      </c>
      <c r="W27">
        <v>73201</v>
      </c>
      <c r="X27">
        <v>16922</v>
      </c>
      <c r="Y27">
        <v>105438</v>
      </c>
      <c r="Z27">
        <v>70318</v>
      </c>
      <c r="AA27">
        <v>29837</v>
      </c>
      <c r="AB27">
        <v>20745</v>
      </c>
      <c r="AC27">
        <v>33498</v>
      </c>
      <c r="AD27">
        <v>23730</v>
      </c>
      <c r="AE27">
        <v>8478</v>
      </c>
      <c r="AF27">
        <v>119</v>
      </c>
      <c r="AH27" t="s">
        <v>396</v>
      </c>
      <c r="AI27">
        <v>5059</v>
      </c>
      <c r="AJ27">
        <v>396.83297094289998</v>
      </c>
      <c r="AK27">
        <v>4505</v>
      </c>
      <c r="AL27">
        <v>1179</v>
      </c>
      <c r="AM27">
        <v>7492</v>
      </c>
      <c r="AN27">
        <v>5078</v>
      </c>
      <c r="AO27">
        <v>1338</v>
      </c>
      <c r="AP27">
        <v>951</v>
      </c>
      <c r="AQ27">
        <v>2505</v>
      </c>
      <c r="AR27">
        <v>1749</v>
      </c>
      <c r="AS27">
        <v>305</v>
      </c>
      <c r="AT27">
        <v>152</v>
      </c>
      <c r="AV27" t="s">
        <v>410</v>
      </c>
      <c r="AW27">
        <v>103</v>
      </c>
      <c r="AX27">
        <v>41.7475728155</v>
      </c>
      <c r="AY27">
        <v>220</v>
      </c>
      <c r="AZ27">
        <v>13</v>
      </c>
      <c r="BA27">
        <v>155</v>
      </c>
      <c r="BB27">
        <v>9</v>
      </c>
      <c r="BC27">
        <v>1</v>
      </c>
      <c r="BD27">
        <v>1</v>
      </c>
      <c r="BE27">
        <v>16</v>
      </c>
      <c r="BF27">
        <v>9</v>
      </c>
      <c r="BG27">
        <v>249</v>
      </c>
      <c r="BH27">
        <v>28</v>
      </c>
      <c r="BJ27" t="s">
        <v>646</v>
      </c>
      <c r="BK27" t="s">
        <v>397</v>
      </c>
      <c r="BL27">
        <v>2738</v>
      </c>
      <c r="BM27">
        <v>511</v>
      </c>
      <c r="BN27">
        <v>86.4276844412</v>
      </c>
      <c r="BO27">
        <v>1786</v>
      </c>
      <c r="BP27">
        <v>307</v>
      </c>
      <c r="BQ27">
        <v>142.451287794</v>
      </c>
      <c r="BR27">
        <v>140.56026058629999</v>
      </c>
      <c r="BS27">
        <v>1843</v>
      </c>
      <c r="BT27">
        <v>384</v>
      </c>
      <c r="BU27">
        <v>93.700488334200003</v>
      </c>
      <c r="BV27">
        <v>1276</v>
      </c>
      <c r="BW27">
        <v>214</v>
      </c>
      <c r="BX27">
        <v>157.60423197489999</v>
      </c>
      <c r="BY27">
        <v>150.30841121500001</v>
      </c>
      <c r="CA27" t="s">
        <v>427</v>
      </c>
      <c r="CB27" t="s">
        <v>814</v>
      </c>
      <c r="CC27" t="s">
        <v>1020</v>
      </c>
      <c r="CD27">
        <v>849</v>
      </c>
      <c r="CE27">
        <v>159</v>
      </c>
      <c r="CF27">
        <v>78.575971731400003</v>
      </c>
      <c r="CG27">
        <v>731</v>
      </c>
      <c r="CH27">
        <v>124</v>
      </c>
      <c r="CI27">
        <v>112.6538987688</v>
      </c>
      <c r="CJ27">
        <v>132.4838709677</v>
      </c>
      <c r="CL27" t="s">
        <v>427</v>
      </c>
      <c r="CM27" t="s">
        <v>789</v>
      </c>
      <c r="CN27" t="s">
        <v>799</v>
      </c>
      <c r="CO27">
        <v>47</v>
      </c>
      <c r="CP27">
        <v>3</v>
      </c>
      <c r="CQ27">
        <v>57.617021276599999</v>
      </c>
      <c r="CR27">
        <v>85</v>
      </c>
      <c r="CS27">
        <v>12</v>
      </c>
      <c r="CT27">
        <v>66.882352941199997</v>
      </c>
      <c r="CU27">
        <v>91.416666666699996</v>
      </c>
      <c r="CW27" t="s">
        <v>427</v>
      </c>
      <c r="CX27" t="s">
        <v>802</v>
      </c>
      <c r="CY27" t="s">
        <v>812</v>
      </c>
      <c r="CZ27">
        <v>18</v>
      </c>
      <c r="DA27">
        <v>3</v>
      </c>
      <c r="DB27">
        <v>82.166666666699996</v>
      </c>
      <c r="DC27">
        <v>2</v>
      </c>
      <c r="DD27">
        <v>1</v>
      </c>
      <c r="DE27">
        <v>186</v>
      </c>
      <c r="DF27">
        <v>125</v>
      </c>
      <c r="DH27" t="s">
        <v>427</v>
      </c>
      <c r="DI27" t="s">
        <v>776</v>
      </c>
      <c r="DJ27" t="s">
        <v>786</v>
      </c>
      <c r="DK27">
        <v>11</v>
      </c>
      <c r="DL27">
        <v>5</v>
      </c>
      <c r="DM27">
        <v>113.0909090909</v>
      </c>
      <c r="DN27">
        <v>9</v>
      </c>
      <c r="DO27">
        <v>2</v>
      </c>
      <c r="DP27">
        <v>147.1111111111</v>
      </c>
      <c r="DQ27">
        <v>210</v>
      </c>
    </row>
    <row r="28" spans="2:121" x14ac:dyDescent="0.2">
      <c r="B28" t="s">
        <v>91</v>
      </c>
      <c r="C28">
        <v>81682</v>
      </c>
      <c r="D28">
        <v>20101</v>
      </c>
      <c r="F28" t="s">
        <v>72</v>
      </c>
      <c r="G28">
        <v>14477</v>
      </c>
      <c r="H28">
        <v>472.6216066865</v>
      </c>
      <c r="I28">
        <v>12566</v>
      </c>
      <c r="J28">
        <v>2416</v>
      </c>
      <c r="K28">
        <v>16351</v>
      </c>
      <c r="L28">
        <v>11890</v>
      </c>
      <c r="M28">
        <v>6484</v>
      </c>
      <c r="N28">
        <v>5078</v>
      </c>
      <c r="O28">
        <v>4385</v>
      </c>
      <c r="P28">
        <v>3678</v>
      </c>
      <c r="Q28">
        <v>7</v>
      </c>
      <c r="R28">
        <v>11</v>
      </c>
      <c r="T28" t="s">
        <v>8</v>
      </c>
      <c r="U28">
        <v>4408</v>
      </c>
      <c r="V28">
        <v>384.1084392015</v>
      </c>
      <c r="W28">
        <v>3948</v>
      </c>
      <c r="X28">
        <v>1594</v>
      </c>
      <c r="Y28">
        <v>5681</v>
      </c>
      <c r="Z28">
        <v>3986</v>
      </c>
      <c r="AA28">
        <v>872</v>
      </c>
      <c r="AB28">
        <v>491</v>
      </c>
      <c r="AC28">
        <v>1410</v>
      </c>
      <c r="AD28">
        <v>821</v>
      </c>
      <c r="AE28">
        <v>405</v>
      </c>
      <c r="AF28">
        <v>130</v>
      </c>
      <c r="AH28" t="s">
        <v>404</v>
      </c>
      <c r="AI28">
        <v>5709</v>
      </c>
      <c r="AJ28">
        <v>284.0360833771</v>
      </c>
      <c r="AK28">
        <v>6293</v>
      </c>
      <c r="AL28">
        <v>986</v>
      </c>
      <c r="AM28">
        <v>8276</v>
      </c>
      <c r="AN28">
        <v>5120</v>
      </c>
      <c r="AO28">
        <v>2382</v>
      </c>
      <c r="AP28">
        <v>1846</v>
      </c>
      <c r="AQ28">
        <v>7080</v>
      </c>
      <c r="AR28">
        <v>4886</v>
      </c>
      <c r="AS28">
        <v>620</v>
      </c>
      <c r="AT28">
        <v>84</v>
      </c>
      <c r="AV28" t="s">
        <v>388</v>
      </c>
      <c r="AW28">
        <v>1273</v>
      </c>
      <c r="AX28">
        <v>109.8043990573</v>
      </c>
      <c r="AY28">
        <v>1666</v>
      </c>
      <c r="AZ28">
        <v>357</v>
      </c>
      <c r="BA28">
        <v>1755</v>
      </c>
      <c r="BB28">
        <v>609</v>
      </c>
      <c r="BC28">
        <v>54</v>
      </c>
      <c r="BD28">
        <v>51</v>
      </c>
      <c r="BE28">
        <v>129</v>
      </c>
      <c r="BF28">
        <v>43</v>
      </c>
      <c r="BG28">
        <v>204</v>
      </c>
      <c r="BH28">
        <v>489</v>
      </c>
      <c r="BJ28" t="s">
        <v>540</v>
      </c>
      <c r="BK28" t="s">
        <v>376</v>
      </c>
      <c r="BL28">
        <v>4644</v>
      </c>
      <c r="BM28">
        <v>975</v>
      </c>
      <c r="BN28">
        <v>94.170542635700002</v>
      </c>
      <c r="BO28">
        <v>3185</v>
      </c>
      <c r="BP28">
        <v>527</v>
      </c>
      <c r="BQ28">
        <v>143.1186813187</v>
      </c>
      <c r="BR28">
        <v>140.72296015180001</v>
      </c>
      <c r="BS28">
        <v>2495</v>
      </c>
      <c r="BT28">
        <v>531</v>
      </c>
      <c r="BU28">
        <v>88.9847695391</v>
      </c>
      <c r="BV28">
        <v>1969</v>
      </c>
      <c r="BW28">
        <v>313</v>
      </c>
      <c r="BX28">
        <v>130.56475368209999</v>
      </c>
      <c r="BY28">
        <v>121.07667731630001</v>
      </c>
      <c r="CA28" t="s">
        <v>403</v>
      </c>
      <c r="CB28" t="s">
        <v>814</v>
      </c>
      <c r="CC28" t="s">
        <v>1021</v>
      </c>
      <c r="CD28">
        <v>3948</v>
      </c>
      <c r="CE28">
        <v>708</v>
      </c>
      <c r="CF28">
        <v>82.584346504600006</v>
      </c>
      <c r="CG28">
        <v>2609</v>
      </c>
      <c r="CH28">
        <v>481</v>
      </c>
      <c r="CI28">
        <v>119.6726715217</v>
      </c>
      <c r="CJ28">
        <v>122.25571725570001</v>
      </c>
      <c r="CL28" t="s">
        <v>403</v>
      </c>
      <c r="CM28" t="s">
        <v>789</v>
      </c>
      <c r="CN28" t="s">
        <v>800</v>
      </c>
      <c r="CO28">
        <v>345</v>
      </c>
      <c r="CP28">
        <v>28</v>
      </c>
      <c r="CQ28">
        <v>56.6057971014</v>
      </c>
      <c r="CR28">
        <v>416</v>
      </c>
      <c r="CS28">
        <v>81</v>
      </c>
      <c r="CT28">
        <v>54.908653846199996</v>
      </c>
      <c r="CU28">
        <v>62.4197530864</v>
      </c>
      <c r="CW28" t="s">
        <v>403</v>
      </c>
      <c r="CX28" t="s">
        <v>802</v>
      </c>
      <c r="CY28" t="s">
        <v>813</v>
      </c>
      <c r="CZ28">
        <v>97</v>
      </c>
      <c r="DA28">
        <v>20</v>
      </c>
      <c r="DB28">
        <v>82.463917525799999</v>
      </c>
      <c r="DC28">
        <v>42</v>
      </c>
      <c r="DD28">
        <v>5</v>
      </c>
      <c r="DE28">
        <v>125.3333333333</v>
      </c>
      <c r="DF28">
        <v>141.6</v>
      </c>
      <c r="DH28" t="s">
        <v>403</v>
      </c>
      <c r="DI28" t="s">
        <v>776</v>
      </c>
      <c r="DJ28" t="s">
        <v>787</v>
      </c>
      <c r="DK28">
        <v>57</v>
      </c>
      <c r="DL28">
        <v>15</v>
      </c>
      <c r="DM28">
        <v>77.649122806999998</v>
      </c>
      <c r="DN28">
        <v>31</v>
      </c>
      <c r="DO28">
        <v>5</v>
      </c>
      <c r="DP28">
        <v>118.1290322581</v>
      </c>
      <c r="DQ28">
        <v>117.2</v>
      </c>
    </row>
    <row r="29" spans="2:121" x14ac:dyDescent="0.2">
      <c r="B29" t="s">
        <v>20</v>
      </c>
      <c r="C29">
        <v>317</v>
      </c>
      <c r="D29">
        <v>189</v>
      </c>
      <c r="F29" t="s">
        <v>44</v>
      </c>
      <c r="G29">
        <v>1124</v>
      </c>
      <c r="H29">
        <v>131.9368327402</v>
      </c>
      <c r="I29">
        <v>2167</v>
      </c>
      <c r="J29">
        <v>354</v>
      </c>
      <c r="K29">
        <v>1842</v>
      </c>
      <c r="L29">
        <v>780</v>
      </c>
      <c r="M29">
        <v>360</v>
      </c>
      <c r="N29">
        <v>121</v>
      </c>
      <c r="O29">
        <v>258</v>
      </c>
      <c r="P29">
        <v>136</v>
      </c>
      <c r="Q29">
        <v>0</v>
      </c>
      <c r="R29">
        <v>6</v>
      </c>
      <c r="T29" t="s">
        <v>411</v>
      </c>
      <c r="U29">
        <v>66490</v>
      </c>
      <c r="V29">
        <v>374.540412092</v>
      </c>
      <c r="W29">
        <v>59808</v>
      </c>
      <c r="X29">
        <v>12153</v>
      </c>
      <c r="Y29">
        <v>96743</v>
      </c>
      <c r="Z29">
        <v>63698</v>
      </c>
      <c r="AA29">
        <v>21844</v>
      </c>
      <c r="AB29">
        <v>14655</v>
      </c>
      <c r="AC29">
        <v>25854</v>
      </c>
      <c r="AD29">
        <v>17142</v>
      </c>
      <c r="AE29">
        <v>88</v>
      </c>
      <c r="AF29">
        <v>558</v>
      </c>
      <c r="AH29" t="s">
        <v>425</v>
      </c>
      <c r="AI29">
        <v>924</v>
      </c>
      <c r="AJ29">
        <v>249.32359307359999</v>
      </c>
      <c r="AK29">
        <v>755</v>
      </c>
      <c r="AL29">
        <v>88</v>
      </c>
      <c r="AM29">
        <v>1469</v>
      </c>
      <c r="AN29">
        <v>694</v>
      </c>
      <c r="AO29">
        <v>471</v>
      </c>
      <c r="AP29">
        <v>218</v>
      </c>
      <c r="AQ29">
        <v>252</v>
      </c>
      <c r="AR29">
        <v>103</v>
      </c>
      <c r="AS29">
        <v>2</v>
      </c>
      <c r="AT29">
        <v>5</v>
      </c>
      <c r="AV29" t="s">
        <v>425</v>
      </c>
      <c r="AW29">
        <v>24</v>
      </c>
      <c r="AX29">
        <v>38.666666666700003</v>
      </c>
      <c r="AY29">
        <v>83</v>
      </c>
      <c r="AZ29">
        <v>3</v>
      </c>
      <c r="BA29">
        <v>43</v>
      </c>
      <c r="BB29">
        <v>2</v>
      </c>
      <c r="BC29">
        <v>0</v>
      </c>
      <c r="BE29">
        <v>1</v>
      </c>
      <c r="BF29">
        <v>1</v>
      </c>
      <c r="BG29">
        <v>80</v>
      </c>
      <c r="BH29">
        <v>5</v>
      </c>
      <c r="BJ29" t="s">
        <v>519</v>
      </c>
      <c r="BK29" t="s">
        <v>376</v>
      </c>
      <c r="BL29">
        <v>3481</v>
      </c>
      <c r="BM29">
        <v>950</v>
      </c>
      <c r="BN29">
        <v>99.503303648400006</v>
      </c>
      <c r="BO29">
        <v>2330</v>
      </c>
      <c r="BP29">
        <v>410</v>
      </c>
      <c r="BQ29">
        <v>120.874248927</v>
      </c>
      <c r="BR29">
        <v>122.44146341459999</v>
      </c>
      <c r="BS29">
        <v>3196</v>
      </c>
      <c r="BT29">
        <v>682</v>
      </c>
      <c r="BU29">
        <v>87.953692115099997</v>
      </c>
      <c r="BV29">
        <v>2143</v>
      </c>
      <c r="BW29">
        <v>385</v>
      </c>
      <c r="BX29">
        <v>112.4904339711</v>
      </c>
      <c r="BY29">
        <v>116.0883116883</v>
      </c>
      <c r="CA29" t="s">
        <v>397</v>
      </c>
      <c r="CB29" t="s">
        <v>814</v>
      </c>
      <c r="CD29">
        <v>51827</v>
      </c>
      <c r="CE29">
        <v>10480</v>
      </c>
      <c r="CF29">
        <v>89.089046249999996</v>
      </c>
      <c r="CG29">
        <v>35032</v>
      </c>
      <c r="CH29">
        <v>6347</v>
      </c>
      <c r="CI29">
        <v>127.5753882165</v>
      </c>
      <c r="CJ29">
        <v>126.05341106029999</v>
      </c>
      <c r="CL29" t="s">
        <v>397</v>
      </c>
      <c r="CM29" t="s">
        <v>789</v>
      </c>
      <c r="CO29">
        <v>4950</v>
      </c>
      <c r="CP29">
        <v>412</v>
      </c>
      <c r="CQ29">
        <v>63.8878787879</v>
      </c>
      <c r="CR29">
        <v>5981</v>
      </c>
      <c r="CS29">
        <v>1099</v>
      </c>
      <c r="CT29">
        <v>66.736164521000006</v>
      </c>
      <c r="CU29">
        <v>71.336669699699996</v>
      </c>
      <c r="CW29" t="s">
        <v>397</v>
      </c>
      <c r="CX29" t="s">
        <v>802</v>
      </c>
      <c r="CZ29">
        <v>1418</v>
      </c>
      <c r="DA29">
        <v>229</v>
      </c>
      <c r="DB29">
        <v>78.374471086</v>
      </c>
      <c r="DC29">
        <v>510</v>
      </c>
      <c r="DD29">
        <v>99</v>
      </c>
      <c r="DE29">
        <v>127.8666666667</v>
      </c>
      <c r="DF29">
        <v>128.73737373739999</v>
      </c>
      <c r="DH29" t="s">
        <v>397</v>
      </c>
      <c r="DI29" t="s">
        <v>776</v>
      </c>
      <c r="DK29">
        <v>1125</v>
      </c>
      <c r="DL29">
        <v>193</v>
      </c>
      <c r="DM29">
        <v>75.820444444399996</v>
      </c>
      <c r="DN29">
        <v>552</v>
      </c>
      <c r="DO29">
        <v>106</v>
      </c>
      <c r="DP29">
        <v>123.95471014490001</v>
      </c>
      <c r="DQ29">
        <v>130.320754717</v>
      </c>
    </row>
    <row r="30" spans="2:121" x14ac:dyDescent="0.2">
      <c r="B30" t="s">
        <v>22</v>
      </c>
      <c r="C30">
        <v>202560</v>
      </c>
      <c r="D30">
        <v>39124</v>
      </c>
      <c r="F30" t="s">
        <v>48</v>
      </c>
      <c r="G30">
        <v>1706</v>
      </c>
      <c r="H30">
        <v>264.61371629540002</v>
      </c>
      <c r="I30">
        <v>2057</v>
      </c>
      <c r="J30">
        <v>485</v>
      </c>
      <c r="K30">
        <v>2172</v>
      </c>
      <c r="L30">
        <v>1480</v>
      </c>
      <c r="M30">
        <v>485</v>
      </c>
      <c r="N30">
        <v>300</v>
      </c>
      <c r="O30">
        <v>106</v>
      </c>
      <c r="P30">
        <v>65</v>
      </c>
      <c r="Q30">
        <v>0</v>
      </c>
      <c r="R30">
        <v>0</v>
      </c>
      <c r="T30" t="s">
        <v>387</v>
      </c>
      <c r="U30">
        <v>78865</v>
      </c>
      <c r="V30">
        <v>365.58516452169999</v>
      </c>
      <c r="W30">
        <v>77190</v>
      </c>
      <c r="X30">
        <v>18008</v>
      </c>
      <c r="Y30">
        <v>114014</v>
      </c>
      <c r="Z30">
        <v>75031</v>
      </c>
      <c r="AA30">
        <v>27357</v>
      </c>
      <c r="AB30">
        <v>18236</v>
      </c>
      <c r="AC30">
        <v>37677</v>
      </c>
      <c r="AD30">
        <v>22515</v>
      </c>
      <c r="AE30">
        <v>5594</v>
      </c>
      <c r="AF30">
        <v>1082</v>
      </c>
      <c r="AH30" t="s">
        <v>407</v>
      </c>
      <c r="AI30">
        <v>1386</v>
      </c>
      <c r="AJ30">
        <v>217.73593073590001</v>
      </c>
      <c r="AK30">
        <v>2160</v>
      </c>
      <c r="AL30">
        <v>248</v>
      </c>
      <c r="AM30">
        <v>2237</v>
      </c>
      <c r="AN30">
        <v>1082</v>
      </c>
      <c r="AO30">
        <v>782</v>
      </c>
      <c r="AP30">
        <v>533</v>
      </c>
      <c r="AQ30">
        <v>482</v>
      </c>
      <c r="AR30">
        <v>203</v>
      </c>
      <c r="AS30">
        <v>2</v>
      </c>
      <c r="AT30">
        <v>12</v>
      </c>
      <c r="AV30" t="s">
        <v>412</v>
      </c>
      <c r="AW30">
        <v>37</v>
      </c>
      <c r="AX30">
        <v>40.594594594599997</v>
      </c>
      <c r="AY30">
        <v>119</v>
      </c>
      <c r="AZ30">
        <v>4</v>
      </c>
      <c r="BA30">
        <v>64</v>
      </c>
      <c r="BB30">
        <v>2</v>
      </c>
      <c r="BC30">
        <v>0</v>
      </c>
      <c r="BE30">
        <v>4</v>
      </c>
      <c r="BF30">
        <v>1</v>
      </c>
      <c r="BG30">
        <v>168</v>
      </c>
      <c r="BH30">
        <v>17</v>
      </c>
      <c r="BJ30" t="s">
        <v>527</v>
      </c>
      <c r="BK30" t="s">
        <v>376</v>
      </c>
      <c r="BL30">
        <v>3539</v>
      </c>
      <c r="BM30">
        <v>727</v>
      </c>
      <c r="BN30">
        <v>92.702740887299996</v>
      </c>
      <c r="BO30">
        <v>2693</v>
      </c>
      <c r="BP30">
        <v>480</v>
      </c>
      <c r="BQ30">
        <v>149.47344968440001</v>
      </c>
      <c r="BR30">
        <v>142.75624999999999</v>
      </c>
      <c r="BS30">
        <v>2859</v>
      </c>
      <c r="BT30">
        <v>443</v>
      </c>
      <c r="BU30">
        <v>79.857642532400007</v>
      </c>
      <c r="BV30">
        <v>2064</v>
      </c>
      <c r="BW30">
        <v>378</v>
      </c>
      <c r="BX30">
        <v>144.74612403099999</v>
      </c>
      <c r="BY30">
        <v>136.68783068779999</v>
      </c>
      <c r="CA30" t="s">
        <v>380</v>
      </c>
      <c r="CB30" t="s">
        <v>863</v>
      </c>
      <c r="CC30" t="s">
        <v>987</v>
      </c>
      <c r="CD30">
        <v>1946</v>
      </c>
      <c r="CE30">
        <v>329</v>
      </c>
      <c r="CF30">
        <v>82.040596094600005</v>
      </c>
      <c r="CG30">
        <v>1283</v>
      </c>
      <c r="CH30">
        <v>154</v>
      </c>
      <c r="CI30">
        <v>109.5845674201</v>
      </c>
      <c r="CJ30">
        <v>112.7272727273</v>
      </c>
      <c r="CL30" t="s">
        <v>380</v>
      </c>
      <c r="CM30" t="s">
        <v>832</v>
      </c>
      <c r="CN30" t="s">
        <v>831</v>
      </c>
      <c r="CO30">
        <v>213</v>
      </c>
      <c r="CP30">
        <v>23</v>
      </c>
      <c r="CQ30">
        <v>66.666666666699996</v>
      </c>
      <c r="CR30">
        <v>166</v>
      </c>
      <c r="CS30">
        <v>32</v>
      </c>
      <c r="CT30">
        <v>77.259036144600003</v>
      </c>
      <c r="CU30">
        <v>71.4375</v>
      </c>
      <c r="CW30" t="s">
        <v>380</v>
      </c>
      <c r="CX30" t="s">
        <v>848</v>
      </c>
      <c r="CY30" t="s">
        <v>847</v>
      </c>
      <c r="CZ30">
        <v>55</v>
      </c>
      <c r="DA30">
        <v>13</v>
      </c>
      <c r="DB30">
        <v>89.927272727299993</v>
      </c>
      <c r="DC30">
        <v>25</v>
      </c>
      <c r="DD30">
        <v>6</v>
      </c>
      <c r="DE30">
        <v>121.72</v>
      </c>
      <c r="DF30">
        <v>124.1666666667</v>
      </c>
      <c r="DH30" t="s">
        <v>380</v>
      </c>
      <c r="DI30" t="s">
        <v>816</v>
      </c>
      <c r="DJ30" t="s">
        <v>815</v>
      </c>
      <c r="DK30">
        <v>67</v>
      </c>
      <c r="DL30">
        <v>18</v>
      </c>
      <c r="DM30">
        <v>89.985074626900001</v>
      </c>
      <c r="DN30">
        <v>23</v>
      </c>
      <c r="DO30">
        <v>7</v>
      </c>
      <c r="DP30">
        <v>140.69565217389999</v>
      </c>
      <c r="DQ30">
        <v>163.71428571429999</v>
      </c>
    </row>
    <row r="31" spans="2:121" x14ac:dyDescent="0.2">
      <c r="B31" t="s">
        <v>120</v>
      </c>
      <c r="C31">
        <v>7089</v>
      </c>
      <c r="D31">
        <v>1347</v>
      </c>
      <c r="F31" t="s">
        <v>76</v>
      </c>
      <c r="G31">
        <v>12200</v>
      </c>
      <c r="H31">
        <v>395.50975409839998</v>
      </c>
      <c r="I31">
        <v>7383</v>
      </c>
      <c r="J31">
        <v>1247</v>
      </c>
      <c r="K31">
        <v>17287</v>
      </c>
      <c r="L31">
        <v>12310</v>
      </c>
      <c r="M31">
        <v>4961</v>
      </c>
      <c r="N31">
        <v>3380</v>
      </c>
      <c r="O31">
        <v>4191</v>
      </c>
      <c r="P31">
        <v>3685</v>
      </c>
      <c r="Q31">
        <v>2</v>
      </c>
      <c r="R31">
        <v>144</v>
      </c>
      <c r="T31" t="s">
        <v>468</v>
      </c>
      <c r="U31">
        <v>328709</v>
      </c>
      <c r="V31">
        <v>386.52392541730001</v>
      </c>
      <c r="W31">
        <v>335224</v>
      </c>
      <c r="X31">
        <v>73951</v>
      </c>
      <c r="Y31">
        <v>477733</v>
      </c>
      <c r="Z31">
        <v>307983</v>
      </c>
      <c r="AA31">
        <v>110715</v>
      </c>
      <c r="AB31">
        <v>72731</v>
      </c>
      <c r="AC31">
        <v>140148</v>
      </c>
      <c r="AD31">
        <v>87342</v>
      </c>
      <c r="AE31">
        <v>19167</v>
      </c>
      <c r="AF31">
        <v>4018</v>
      </c>
      <c r="AH31" t="s">
        <v>420</v>
      </c>
      <c r="AI31">
        <v>3970</v>
      </c>
      <c r="AJ31">
        <v>445.48362720400002</v>
      </c>
      <c r="AK31">
        <v>3773</v>
      </c>
      <c r="AL31">
        <v>815</v>
      </c>
      <c r="AM31">
        <v>5295</v>
      </c>
      <c r="AN31">
        <v>3474</v>
      </c>
      <c r="AO31">
        <v>839</v>
      </c>
      <c r="AP31">
        <v>461</v>
      </c>
      <c r="AQ31">
        <v>1629</v>
      </c>
      <c r="AR31">
        <v>1081</v>
      </c>
      <c r="AS31">
        <v>6</v>
      </c>
      <c r="AT31">
        <v>114</v>
      </c>
      <c r="AV31" t="s">
        <v>391</v>
      </c>
      <c r="AW31">
        <v>311</v>
      </c>
      <c r="AX31">
        <v>56.398713826399998</v>
      </c>
      <c r="AY31">
        <v>745</v>
      </c>
      <c r="AZ31">
        <v>46</v>
      </c>
      <c r="BA31">
        <v>512</v>
      </c>
      <c r="BB31">
        <v>38</v>
      </c>
      <c r="BC31">
        <v>3</v>
      </c>
      <c r="BD31">
        <v>3</v>
      </c>
      <c r="BE31">
        <v>59</v>
      </c>
      <c r="BF31">
        <v>14</v>
      </c>
      <c r="BG31">
        <v>114</v>
      </c>
      <c r="BH31">
        <v>69</v>
      </c>
      <c r="BJ31" t="s">
        <v>529</v>
      </c>
      <c r="BK31" t="s">
        <v>376</v>
      </c>
      <c r="BL31">
        <v>1915</v>
      </c>
      <c r="BM31">
        <v>323</v>
      </c>
      <c r="BN31">
        <v>82.540469973900002</v>
      </c>
      <c r="BO31">
        <v>1253</v>
      </c>
      <c r="BP31">
        <v>153</v>
      </c>
      <c r="BQ31">
        <v>111.64565043890001</v>
      </c>
      <c r="BR31">
        <v>111.0588235294</v>
      </c>
      <c r="BS31">
        <v>3261</v>
      </c>
      <c r="BT31">
        <v>610</v>
      </c>
      <c r="BU31">
        <v>88.6930389451</v>
      </c>
      <c r="BV31">
        <v>1855</v>
      </c>
      <c r="BW31">
        <v>253</v>
      </c>
      <c r="BX31">
        <v>134.11536388139999</v>
      </c>
      <c r="BY31">
        <v>131.44268774700001</v>
      </c>
      <c r="CA31" t="s">
        <v>430</v>
      </c>
      <c r="CB31" t="s">
        <v>863</v>
      </c>
      <c r="CC31" t="s">
        <v>988</v>
      </c>
      <c r="CD31">
        <v>864</v>
      </c>
      <c r="CE31">
        <v>252</v>
      </c>
      <c r="CF31">
        <v>107.005787037</v>
      </c>
      <c r="CG31">
        <v>575</v>
      </c>
      <c r="CH31">
        <v>80</v>
      </c>
      <c r="CI31">
        <v>142.7113043478</v>
      </c>
      <c r="CJ31">
        <v>154.69999999999999</v>
      </c>
      <c r="CL31" t="s">
        <v>430</v>
      </c>
      <c r="CM31" t="s">
        <v>832</v>
      </c>
      <c r="CN31" t="s">
        <v>833</v>
      </c>
      <c r="CO31">
        <v>67</v>
      </c>
      <c r="CP31">
        <v>4</v>
      </c>
      <c r="CQ31">
        <v>75.358208955199999</v>
      </c>
      <c r="CR31">
        <v>55</v>
      </c>
      <c r="CS31">
        <v>14</v>
      </c>
      <c r="CT31">
        <v>85</v>
      </c>
      <c r="CU31">
        <v>133.92857142860001</v>
      </c>
      <c r="CW31" t="s">
        <v>430</v>
      </c>
      <c r="CX31" t="s">
        <v>848</v>
      </c>
      <c r="CY31" t="s">
        <v>849</v>
      </c>
      <c r="CZ31">
        <v>21</v>
      </c>
      <c r="DA31">
        <v>4</v>
      </c>
      <c r="DB31">
        <v>80</v>
      </c>
      <c r="DC31">
        <v>9</v>
      </c>
      <c r="DD31">
        <v>1</v>
      </c>
      <c r="DE31">
        <v>144.2222222222</v>
      </c>
      <c r="DF31">
        <v>102</v>
      </c>
      <c r="DH31" t="s">
        <v>430</v>
      </c>
      <c r="DI31" t="s">
        <v>816</v>
      </c>
      <c r="DJ31" t="s">
        <v>817</v>
      </c>
      <c r="DK31">
        <v>31</v>
      </c>
      <c r="DL31">
        <v>8</v>
      </c>
      <c r="DM31">
        <v>94.161290322599996</v>
      </c>
      <c r="DN31">
        <v>4</v>
      </c>
      <c r="DO31">
        <v>3</v>
      </c>
      <c r="DP31">
        <v>193.75</v>
      </c>
      <c r="DQ31">
        <v>184</v>
      </c>
    </row>
    <row r="32" spans="2:121" x14ac:dyDescent="0.2">
      <c r="B32" t="s">
        <v>128</v>
      </c>
      <c r="C32">
        <v>685</v>
      </c>
      <c r="D32">
        <v>21</v>
      </c>
      <c r="F32" t="s">
        <v>68</v>
      </c>
      <c r="G32">
        <v>4355</v>
      </c>
      <c r="H32">
        <v>489.6273249139</v>
      </c>
      <c r="I32">
        <v>5274</v>
      </c>
      <c r="J32">
        <v>1560</v>
      </c>
      <c r="K32">
        <v>5911</v>
      </c>
      <c r="L32">
        <v>4634</v>
      </c>
      <c r="M32">
        <v>674</v>
      </c>
      <c r="N32">
        <v>330</v>
      </c>
      <c r="O32">
        <v>1015</v>
      </c>
      <c r="P32">
        <v>716</v>
      </c>
      <c r="Q32">
        <v>0</v>
      </c>
      <c r="R32">
        <v>1</v>
      </c>
      <c r="AH32" t="s">
        <v>422</v>
      </c>
      <c r="AI32">
        <v>1612</v>
      </c>
      <c r="AJ32">
        <v>397.23014888339998</v>
      </c>
      <c r="AK32">
        <v>1225</v>
      </c>
      <c r="AL32">
        <v>295</v>
      </c>
      <c r="AM32">
        <v>2291</v>
      </c>
      <c r="AN32">
        <v>1487</v>
      </c>
      <c r="AO32">
        <v>564</v>
      </c>
      <c r="AP32">
        <v>455</v>
      </c>
      <c r="AQ32">
        <v>181</v>
      </c>
      <c r="AR32">
        <v>100</v>
      </c>
      <c r="AS32">
        <v>176</v>
      </c>
      <c r="AT32">
        <v>2</v>
      </c>
      <c r="AV32" t="s">
        <v>422</v>
      </c>
      <c r="AW32">
        <v>118</v>
      </c>
      <c r="AX32">
        <v>94.762711864400003</v>
      </c>
      <c r="AY32">
        <v>149</v>
      </c>
      <c r="AZ32">
        <v>35</v>
      </c>
      <c r="BA32">
        <v>159</v>
      </c>
      <c r="BB32">
        <v>54</v>
      </c>
      <c r="BC32">
        <v>2</v>
      </c>
      <c r="BD32">
        <v>2</v>
      </c>
      <c r="BE32">
        <v>14</v>
      </c>
      <c r="BF32">
        <v>4</v>
      </c>
      <c r="BG32">
        <v>16</v>
      </c>
      <c r="BH32">
        <v>36</v>
      </c>
      <c r="BJ32" t="s">
        <v>544</v>
      </c>
      <c r="BK32" t="s">
        <v>376</v>
      </c>
      <c r="BL32">
        <v>2561</v>
      </c>
      <c r="BM32">
        <v>330</v>
      </c>
      <c r="BN32">
        <v>79.260445138600005</v>
      </c>
      <c r="BO32">
        <v>1714</v>
      </c>
      <c r="BP32">
        <v>308</v>
      </c>
      <c r="BQ32">
        <v>115.46966161029999</v>
      </c>
      <c r="BR32">
        <v>120.2402597403</v>
      </c>
      <c r="BS32">
        <v>5665</v>
      </c>
      <c r="BT32">
        <v>956</v>
      </c>
      <c r="BU32">
        <v>92.360105913500007</v>
      </c>
      <c r="BV32">
        <v>3675</v>
      </c>
      <c r="BW32">
        <v>717</v>
      </c>
      <c r="BX32">
        <v>136.07401360540001</v>
      </c>
      <c r="BY32">
        <v>141.20920502089999</v>
      </c>
      <c r="CA32" t="s">
        <v>421</v>
      </c>
      <c r="CB32" t="s">
        <v>863</v>
      </c>
      <c r="CC32" t="s">
        <v>989</v>
      </c>
      <c r="CD32">
        <v>379</v>
      </c>
      <c r="CE32">
        <v>84</v>
      </c>
      <c r="CF32">
        <v>102.27176781</v>
      </c>
      <c r="CG32">
        <v>263</v>
      </c>
      <c r="CH32">
        <v>37</v>
      </c>
      <c r="CI32">
        <v>152.6273764259</v>
      </c>
      <c r="CJ32">
        <v>156.72972972970001</v>
      </c>
      <c r="CL32" t="s">
        <v>421</v>
      </c>
      <c r="CM32" t="s">
        <v>832</v>
      </c>
      <c r="CN32" t="s">
        <v>834</v>
      </c>
      <c r="CO32">
        <v>61</v>
      </c>
      <c r="CP32">
        <v>3</v>
      </c>
      <c r="CQ32">
        <v>73.016393442600005</v>
      </c>
      <c r="CR32">
        <v>58</v>
      </c>
      <c r="CS32">
        <v>7</v>
      </c>
      <c r="CT32">
        <v>87.120689655199996</v>
      </c>
      <c r="CU32">
        <v>88.428571428599994</v>
      </c>
      <c r="CW32" t="s">
        <v>421</v>
      </c>
      <c r="CX32" t="s">
        <v>848</v>
      </c>
      <c r="CY32" t="s">
        <v>850</v>
      </c>
      <c r="CZ32">
        <v>24</v>
      </c>
      <c r="DA32">
        <v>6</v>
      </c>
      <c r="DB32">
        <v>77.791666666699996</v>
      </c>
      <c r="DC32">
        <v>6</v>
      </c>
      <c r="DD32">
        <v>2</v>
      </c>
      <c r="DE32">
        <v>145.6666666667</v>
      </c>
      <c r="DF32">
        <v>149.5</v>
      </c>
      <c r="DH32" t="s">
        <v>421</v>
      </c>
      <c r="DI32" t="s">
        <v>816</v>
      </c>
      <c r="DJ32" t="s">
        <v>818</v>
      </c>
      <c r="DK32">
        <v>31</v>
      </c>
      <c r="DL32">
        <v>10</v>
      </c>
      <c r="DM32">
        <v>92.129032258099997</v>
      </c>
      <c r="DN32">
        <v>10</v>
      </c>
      <c r="DO32">
        <v>1</v>
      </c>
      <c r="DP32">
        <v>126.6</v>
      </c>
      <c r="DQ32">
        <v>156</v>
      </c>
    </row>
    <row r="33" spans="2:121" x14ac:dyDescent="0.2">
      <c r="B33" t="s">
        <v>96</v>
      </c>
      <c r="C33">
        <v>158</v>
      </c>
      <c r="D33">
        <v>140</v>
      </c>
      <c r="F33" t="s">
        <v>70</v>
      </c>
      <c r="G33">
        <v>1079</v>
      </c>
      <c r="H33">
        <v>211.35866543099999</v>
      </c>
      <c r="I33">
        <v>2188</v>
      </c>
      <c r="J33">
        <v>393</v>
      </c>
      <c r="K33">
        <v>4369</v>
      </c>
      <c r="L33">
        <v>1099</v>
      </c>
      <c r="M33">
        <v>3380</v>
      </c>
      <c r="N33">
        <v>2459</v>
      </c>
      <c r="O33">
        <v>350</v>
      </c>
      <c r="P33">
        <v>143</v>
      </c>
      <c r="Q33">
        <v>0</v>
      </c>
      <c r="R33">
        <v>0</v>
      </c>
      <c r="AH33" t="s">
        <v>381</v>
      </c>
      <c r="AI33">
        <v>2604</v>
      </c>
      <c r="AJ33">
        <v>301.59331797239997</v>
      </c>
      <c r="AK33">
        <v>4137</v>
      </c>
      <c r="AL33">
        <v>951</v>
      </c>
      <c r="AM33">
        <v>4163</v>
      </c>
      <c r="AN33">
        <v>2203</v>
      </c>
      <c r="AO33">
        <v>1223</v>
      </c>
      <c r="AP33">
        <v>793</v>
      </c>
      <c r="AQ33">
        <v>1970</v>
      </c>
      <c r="AR33">
        <v>1261</v>
      </c>
      <c r="AS33">
        <v>725</v>
      </c>
      <c r="AT33">
        <v>4</v>
      </c>
      <c r="AV33" t="s">
        <v>433</v>
      </c>
      <c r="AW33">
        <v>124</v>
      </c>
      <c r="AX33">
        <v>60.846774193500003</v>
      </c>
      <c r="AY33">
        <v>466</v>
      </c>
      <c r="AZ33">
        <v>26</v>
      </c>
      <c r="BA33">
        <v>211</v>
      </c>
      <c r="BB33">
        <v>16</v>
      </c>
      <c r="BC33">
        <v>3</v>
      </c>
      <c r="BD33">
        <v>3</v>
      </c>
      <c r="BE33">
        <v>12</v>
      </c>
      <c r="BF33">
        <v>2</v>
      </c>
      <c r="BG33">
        <v>305</v>
      </c>
      <c r="BH33">
        <v>44</v>
      </c>
      <c r="BJ33" t="s">
        <v>629</v>
      </c>
      <c r="BK33" t="s">
        <v>376</v>
      </c>
      <c r="BL33">
        <v>1242</v>
      </c>
      <c r="BM33">
        <v>270</v>
      </c>
      <c r="BN33">
        <v>93.993558776200004</v>
      </c>
      <c r="BO33">
        <v>766</v>
      </c>
      <c r="BP33">
        <v>181</v>
      </c>
      <c r="BQ33">
        <v>131.318537859</v>
      </c>
      <c r="BR33">
        <v>133.57458563540001</v>
      </c>
      <c r="BS33">
        <v>1267</v>
      </c>
      <c r="BT33">
        <v>296</v>
      </c>
      <c r="BU33">
        <v>96.429360694600007</v>
      </c>
      <c r="BV33">
        <v>773</v>
      </c>
      <c r="BW33">
        <v>188</v>
      </c>
      <c r="BX33">
        <v>140.24708926260001</v>
      </c>
      <c r="BY33">
        <v>133.57446808509999</v>
      </c>
      <c r="CA33" t="s">
        <v>423</v>
      </c>
      <c r="CB33" t="s">
        <v>863</v>
      </c>
      <c r="CC33" t="s">
        <v>990</v>
      </c>
      <c r="CD33">
        <v>1257</v>
      </c>
      <c r="CE33">
        <v>173</v>
      </c>
      <c r="CF33">
        <v>73.891805887000004</v>
      </c>
      <c r="CG33">
        <v>1051</v>
      </c>
      <c r="CH33">
        <v>186</v>
      </c>
      <c r="CI33">
        <v>105.2150333016</v>
      </c>
      <c r="CJ33">
        <v>104.5913978495</v>
      </c>
      <c r="CL33" t="s">
        <v>423</v>
      </c>
      <c r="CM33" t="s">
        <v>832</v>
      </c>
      <c r="CN33" t="s">
        <v>835</v>
      </c>
      <c r="CO33">
        <v>114</v>
      </c>
      <c r="CP33">
        <v>14</v>
      </c>
      <c r="CQ33">
        <v>68.780701754399999</v>
      </c>
      <c r="CR33">
        <v>111</v>
      </c>
      <c r="CS33">
        <v>18</v>
      </c>
      <c r="CT33">
        <v>76.963963964000001</v>
      </c>
      <c r="CU33">
        <v>116.7222222222</v>
      </c>
      <c r="CW33" t="s">
        <v>423</v>
      </c>
      <c r="CX33" t="s">
        <v>848</v>
      </c>
      <c r="CY33" t="s">
        <v>851</v>
      </c>
      <c r="CZ33">
        <v>37</v>
      </c>
      <c r="DA33">
        <v>7</v>
      </c>
      <c r="DB33">
        <v>75.432432432400006</v>
      </c>
      <c r="DC33">
        <v>5</v>
      </c>
      <c r="DD33">
        <v>1</v>
      </c>
      <c r="DE33">
        <v>147</v>
      </c>
      <c r="DF33">
        <v>145</v>
      </c>
      <c r="DH33" t="s">
        <v>423</v>
      </c>
      <c r="DI33" t="s">
        <v>816</v>
      </c>
      <c r="DJ33" t="s">
        <v>819</v>
      </c>
      <c r="DK33">
        <v>19</v>
      </c>
      <c r="DL33">
        <v>6</v>
      </c>
      <c r="DM33">
        <v>89.631578947400001</v>
      </c>
      <c r="DN33">
        <v>8</v>
      </c>
      <c r="DO33">
        <v>0</v>
      </c>
      <c r="DP33">
        <v>167.625</v>
      </c>
      <c r="DQ33">
        <v>0</v>
      </c>
    </row>
    <row r="34" spans="2:121" x14ac:dyDescent="0.2">
      <c r="B34" t="s">
        <v>92</v>
      </c>
      <c r="C34">
        <v>3</v>
      </c>
      <c r="D34">
        <v>1</v>
      </c>
      <c r="F34" t="s">
        <v>74</v>
      </c>
      <c r="G34">
        <v>7126</v>
      </c>
      <c r="H34">
        <v>337.9275891103</v>
      </c>
      <c r="I34">
        <v>12310</v>
      </c>
      <c r="J34">
        <v>1848</v>
      </c>
      <c r="K34">
        <v>17291</v>
      </c>
      <c r="L34">
        <v>8739</v>
      </c>
      <c r="M34">
        <v>3890</v>
      </c>
      <c r="N34">
        <v>1665</v>
      </c>
      <c r="O34">
        <v>2174</v>
      </c>
      <c r="P34">
        <v>1535</v>
      </c>
      <c r="Q34">
        <v>0</v>
      </c>
      <c r="R34">
        <v>59</v>
      </c>
      <c r="AH34" t="s">
        <v>412</v>
      </c>
      <c r="AI34">
        <v>1575</v>
      </c>
      <c r="AJ34">
        <v>215.5663492063</v>
      </c>
      <c r="AK34">
        <v>2694</v>
      </c>
      <c r="AL34">
        <v>619</v>
      </c>
      <c r="AM34">
        <v>2430</v>
      </c>
      <c r="AN34">
        <v>1032</v>
      </c>
      <c r="AO34">
        <v>455</v>
      </c>
      <c r="AP34">
        <v>170</v>
      </c>
      <c r="AQ34">
        <v>702</v>
      </c>
      <c r="AR34">
        <v>353</v>
      </c>
      <c r="AS34">
        <v>4</v>
      </c>
      <c r="AT34">
        <v>10</v>
      </c>
      <c r="AV34" t="s">
        <v>402</v>
      </c>
      <c r="AW34">
        <v>374</v>
      </c>
      <c r="AX34">
        <v>53.366310160399998</v>
      </c>
      <c r="AY34">
        <v>1123</v>
      </c>
      <c r="AZ34">
        <v>101</v>
      </c>
      <c r="BA34">
        <v>614</v>
      </c>
      <c r="BB34">
        <v>35</v>
      </c>
      <c r="BC34">
        <v>1</v>
      </c>
      <c r="BD34">
        <v>1</v>
      </c>
      <c r="BE34">
        <v>52</v>
      </c>
      <c r="BF34">
        <v>6</v>
      </c>
      <c r="BG34">
        <v>104</v>
      </c>
      <c r="BH34">
        <v>77</v>
      </c>
      <c r="BJ34" t="s">
        <v>525</v>
      </c>
      <c r="BK34" t="s">
        <v>376</v>
      </c>
      <c r="BL34">
        <v>4929</v>
      </c>
      <c r="BM34">
        <v>1163</v>
      </c>
      <c r="BN34">
        <v>94.349969567900004</v>
      </c>
      <c r="BO34">
        <v>2728</v>
      </c>
      <c r="BP34">
        <v>483</v>
      </c>
      <c r="BQ34">
        <v>140.66202346040001</v>
      </c>
      <c r="BR34">
        <v>146.65217391300001</v>
      </c>
      <c r="BS34">
        <v>3820</v>
      </c>
      <c r="BT34">
        <v>896</v>
      </c>
      <c r="BU34">
        <v>91.363612565400004</v>
      </c>
      <c r="BV34">
        <v>2266</v>
      </c>
      <c r="BW34">
        <v>367</v>
      </c>
      <c r="BX34">
        <v>130.53398058249999</v>
      </c>
      <c r="BY34">
        <v>136.81743869210001</v>
      </c>
      <c r="CA34" t="s">
        <v>383</v>
      </c>
      <c r="CB34" t="s">
        <v>863</v>
      </c>
      <c r="CC34" t="s">
        <v>991</v>
      </c>
      <c r="CD34">
        <v>5201</v>
      </c>
      <c r="CE34">
        <v>1087</v>
      </c>
      <c r="CF34">
        <v>93.635839261699999</v>
      </c>
      <c r="CG34">
        <v>3654</v>
      </c>
      <c r="CH34">
        <v>610</v>
      </c>
      <c r="CI34">
        <v>136.93568691839999</v>
      </c>
      <c r="CJ34">
        <v>133.59180327870001</v>
      </c>
      <c r="CL34" t="s">
        <v>383</v>
      </c>
      <c r="CM34" t="s">
        <v>832</v>
      </c>
      <c r="CN34" t="s">
        <v>836</v>
      </c>
      <c r="CO34">
        <v>479</v>
      </c>
      <c r="CP34">
        <v>38</v>
      </c>
      <c r="CQ34">
        <v>65.083507306900003</v>
      </c>
      <c r="CR34">
        <v>357</v>
      </c>
      <c r="CS34">
        <v>84</v>
      </c>
      <c r="CT34">
        <v>82.319327731100003</v>
      </c>
      <c r="CU34">
        <v>78.726190476200003</v>
      </c>
      <c r="CW34" t="s">
        <v>383</v>
      </c>
      <c r="CX34" t="s">
        <v>848</v>
      </c>
      <c r="CY34" t="s">
        <v>852</v>
      </c>
      <c r="CZ34">
        <v>264</v>
      </c>
      <c r="DA34">
        <v>64</v>
      </c>
      <c r="DB34">
        <v>86.643939393899998</v>
      </c>
      <c r="DC34">
        <v>91</v>
      </c>
      <c r="DD34">
        <v>19</v>
      </c>
      <c r="DE34">
        <v>140.0989010989</v>
      </c>
      <c r="DF34">
        <v>155.8947368421</v>
      </c>
      <c r="DH34" t="s">
        <v>383</v>
      </c>
      <c r="DI34" t="s">
        <v>816</v>
      </c>
      <c r="DJ34" t="s">
        <v>820</v>
      </c>
      <c r="DK34">
        <v>398</v>
      </c>
      <c r="DL34">
        <v>97</v>
      </c>
      <c r="DM34">
        <v>83.517587939699993</v>
      </c>
      <c r="DN34">
        <v>104</v>
      </c>
      <c r="DO34">
        <v>29</v>
      </c>
      <c r="DP34">
        <v>142.7211538462</v>
      </c>
      <c r="DQ34">
        <v>139.93103448279999</v>
      </c>
    </row>
    <row r="35" spans="2:121" x14ac:dyDescent="0.2">
      <c r="B35" t="s">
        <v>105</v>
      </c>
      <c r="C35">
        <v>682</v>
      </c>
      <c r="D35">
        <v>611</v>
      </c>
      <c r="F35" t="s">
        <v>40</v>
      </c>
      <c r="G35">
        <v>6106</v>
      </c>
      <c r="H35">
        <v>513.6734359646</v>
      </c>
      <c r="I35">
        <v>6850</v>
      </c>
      <c r="J35">
        <v>1762</v>
      </c>
      <c r="K35">
        <v>7395</v>
      </c>
      <c r="L35">
        <v>5738</v>
      </c>
      <c r="M35">
        <v>1483</v>
      </c>
      <c r="N35">
        <v>1228</v>
      </c>
      <c r="O35">
        <v>987</v>
      </c>
      <c r="P35">
        <v>635</v>
      </c>
      <c r="Q35">
        <v>0</v>
      </c>
      <c r="R35">
        <v>208</v>
      </c>
      <c r="AH35" t="s">
        <v>63</v>
      </c>
      <c r="AI35">
        <v>6916</v>
      </c>
      <c r="AJ35">
        <v>292.7820994795</v>
      </c>
      <c r="AK35">
        <v>8839</v>
      </c>
      <c r="AL35">
        <v>1976</v>
      </c>
      <c r="AM35">
        <v>10245</v>
      </c>
      <c r="AN35">
        <v>6226</v>
      </c>
      <c r="AO35">
        <v>3969</v>
      </c>
      <c r="AP35">
        <v>2873</v>
      </c>
      <c r="AQ35">
        <v>2295</v>
      </c>
      <c r="AR35">
        <v>1077</v>
      </c>
      <c r="AS35">
        <v>1523</v>
      </c>
      <c r="AT35">
        <v>7</v>
      </c>
      <c r="AV35" t="s">
        <v>379</v>
      </c>
      <c r="AW35">
        <v>87</v>
      </c>
      <c r="AX35">
        <v>83.770114942500001</v>
      </c>
      <c r="AY35">
        <v>171</v>
      </c>
      <c r="AZ35">
        <v>36</v>
      </c>
      <c r="BA35">
        <v>135</v>
      </c>
      <c r="BB35">
        <v>34</v>
      </c>
      <c r="BC35">
        <v>5</v>
      </c>
      <c r="BD35">
        <v>5</v>
      </c>
      <c r="BE35">
        <v>13</v>
      </c>
      <c r="BF35">
        <v>2</v>
      </c>
      <c r="BG35">
        <v>18</v>
      </c>
      <c r="BH35">
        <v>28</v>
      </c>
      <c r="BJ35" t="s">
        <v>531</v>
      </c>
      <c r="BK35" t="s">
        <v>376</v>
      </c>
      <c r="BL35">
        <v>2771</v>
      </c>
      <c r="BM35">
        <v>524</v>
      </c>
      <c r="BN35">
        <v>83.552508119799995</v>
      </c>
      <c r="BO35">
        <v>1664</v>
      </c>
      <c r="BP35">
        <v>211</v>
      </c>
      <c r="BQ35">
        <v>142.54987980769999</v>
      </c>
      <c r="BR35">
        <v>158.0853080569</v>
      </c>
      <c r="BS35">
        <v>2320</v>
      </c>
      <c r="BT35">
        <v>348</v>
      </c>
      <c r="BU35">
        <v>75.919396551700004</v>
      </c>
      <c r="BV35">
        <v>1343</v>
      </c>
      <c r="BW35">
        <v>148</v>
      </c>
      <c r="BX35">
        <v>139.4869694713</v>
      </c>
      <c r="BY35">
        <v>159.23648648650001</v>
      </c>
      <c r="CA35" t="s">
        <v>378</v>
      </c>
      <c r="CB35" t="s">
        <v>863</v>
      </c>
      <c r="CC35" t="s">
        <v>992</v>
      </c>
      <c r="CD35">
        <v>4299</v>
      </c>
      <c r="CE35">
        <v>1148</v>
      </c>
      <c r="CF35">
        <v>98.9785996743</v>
      </c>
      <c r="CG35">
        <v>2786</v>
      </c>
      <c r="CH35">
        <v>479</v>
      </c>
      <c r="CI35">
        <v>119.4468772434</v>
      </c>
      <c r="CJ35">
        <v>115.8183716075</v>
      </c>
      <c r="CL35" t="s">
        <v>378</v>
      </c>
      <c r="CM35" t="s">
        <v>832</v>
      </c>
      <c r="CN35" t="s">
        <v>837</v>
      </c>
      <c r="CO35">
        <v>434</v>
      </c>
      <c r="CP35">
        <v>32</v>
      </c>
      <c r="CQ35">
        <v>64.573732718900004</v>
      </c>
      <c r="CR35">
        <v>364</v>
      </c>
      <c r="CS35">
        <v>68</v>
      </c>
      <c r="CT35">
        <v>80.285714285699996</v>
      </c>
      <c r="CU35">
        <v>72.147058823500004</v>
      </c>
      <c r="CW35" t="s">
        <v>378</v>
      </c>
      <c r="CX35" t="s">
        <v>848</v>
      </c>
      <c r="CY35" t="s">
        <v>853</v>
      </c>
      <c r="CZ35">
        <v>89</v>
      </c>
      <c r="DA35">
        <v>16</v>
      </c>
      <c r="DB35">
        <v>82.382022471900001</v>
      </c>
      <c r="DC35">
        <v>48</v>
      </c>
      <c r="DD35">
        <v>11</v>
      </c>
      <c r="DE35">
        <v>137.2083333333</v>
      </c>
      <c r="DF35">
        <v>138.0909090909</v>
      </c>
      <c r="DH35" t="s">
        <v>378</v>
      </c>
      <c r="DI35" t="s">
        <v>816</v>
      </c>
      <c r="DJ35" t="s">
        <v>821</v>
      </c>
      <c r="DK35">
        <v>53</v>
      </c>
      <c r="DL35">
        <v>12</v>
      </c>
      <c r="DM35">
        <v>94.943396226399997</v>
      </c>
      <c r="DN35">
        <v>22</v>
      </c>
      <c r="DO35">
        <v>3</v>
      </c>
      <c r="DP35">
        <v>115.7272727273</v>
      </c>
      <c r="DQ35">
        <v>59.666666666700003</v>
      </c>
    </row>
    <row r="36" spans="2:121" x14ac:dyDescent="0.2">
      <c r="B36" t="s">
        <v>98</v>
      </c>
      <c r="C36">
        <v>469</v>
      </c>
      <c r="D36">
        <v>335</v>
      </c>
      <c r="F36" t="s">
        <v>50</v>
      </c>
      <c r="G36">
        <v>2204</v>
      </c>
      <c r="H36">
        <v>242.12840290380001</v>
      </c>
      <c r="I36">
        <v>2348</v>
      </c>
      <c r="J36">
        <v>325</v>
      </c>
      <c r="K36">
        <v>3447</v>
      </c>
      <c r="L36">
        <v>2144</v>
      </c>
      <c r="M36">
        <v>438</v>
      </c>
      <c r="N36">
        <v>75</v>
      </c>
      <c r="O36">
        <v>1046</v>
      </c>
      <c r="P36">
        <v>803</v>
      </c>
      <c r="Q36">
        <v>1</v>
      </c>
      <c r="R36">
        <v>12</v>
      </c>
      <c r="T36" t="s">
        <v>653</v>
      </c>
      <c r="U36" t="s">
        <v>312</v>
      </c>
      <c r="V36" t="s">
        <v>139</v>
      </c>
      <c r="W36" t="s">
        <v>220</v>
      </c>
      <c r="X36" t="s">
        <v>466</v>
      </c>
      <c r="Y36" t="s">
        <v>222</v>
      </c>
      <c r="Z36" t="s">
        <v>223</v>
      </c>
      <c r="AA36" t="s">
        <v>224</v>
      </c>
      <c r="AB36" t="s">
        <v>467</v>
      </c>
      <c r="AC36" t="s">
        <v>226</v>
      </c>
      <c r="AD36" t="s">
        <v>227</v>
      </c>
      <c r="AE36" t="s">
        <v>228</v>
      </c>
      <c r="AF36" t="s">
        <v>229</v>
      </c>
      <c r="AH36" t="s">
        <v>389</v>
      </c>
      <c r="AI36">
        <v>16271</v>
      </c>
      <c r="AJ36">
        <v>323.37686681830002</v>
      </c>
      <c r="AK36">
        <v>17844</v>
      </c>
      <c r="AL36">
        <v>4504</v>
      </c>
      <c r="AM36">
        <v>22463</v>
      </c>
      <c r="AN36">
        <v>14632</v>
      </c>
      <c r="AO36">
        <v>6340</v>
      </c>
      <c r="AP36">
        <v>3961</v>
      </c>
      <c r="AQ36">
        <v>5419</v>
      </c>
      <c r="AR36">
        <v>3418</v>
      </c>
      <c r="AS36">
        <v>1157</v>
      </c>
      <c r="AT36">
        <v>37</v>
      </c>
      <c r="AV36" t="s">
        <v>390</v>
      </c>
      <c r="AW36">
        <v>887</v>
      </c>
      <c r="AX36">
        <v>108.2581736189</v>
      </c>
      <c r="AY36">
        <v>958</v>
      </c>
      <c r="AZ36">
        <v>232</v>
      </c>
      <c r="BA36">
        <v>1219</v>
      </c>
      <c r="BB36">
        <v>437</v>
      </c>
      <c r="BC36">
        <v>16</v>
      </c>
      <c r="BD36">
        <v>14</v>
      </c>
      <c r="BE36">
        <v>59</v>
      </c>
      <c r="BF36">
        <v>20</v>
      </c>
      <c r="BG36">
        <v>160</v>
      </c>
      <c r="BH36">
        <v>283</v>
      </c>
      <c r="BJ36" t="s">
        <v>376</v>
      </c>
      <c r="BK36" t="s">
        <v>376</v>
      </c>
      <c r="BL36">
        <v>70975</v>
      </c>
      <c r="BM36">
        <v>16187</v>
      </c>
      <c r="BN36">
        <v>95.493709052499995</v>
      </c>
      <c r="BO36">
        <v>46373</v>
      </c>
      <c r="BP36">
        <v>8130</v>
      </c>
      <c r="BQ36">
        <v>136.18556056329999</v>
      </c>
      <c r="BR36">
        <v>137.10258302579999</v>
      </c>
      <c r="BS36">
        <v>69452</v>
      </c>
      <c r="BT36">
        <v>15211</v>
      </c>
      <c r="BU36">
        <v>92.913738985199998</v>
      </c>
      <c r="BV36">
        <v>45669</v>
      </c>
      <c r="BW36">
        <v>7941</v>
      </c>
      <c r="BX36">
        <v>135.04968359279999</v>
      </c>
      <c r="BY36">
        <v>136.25513159549999</v>
      </c>
      <c r="CA36" t="s">
        <v>422</v>
      </c>
      <c r="CB36" t="s">
        <v>863</v>
      </c>
      <c r="CC36" t="s">
        <v>993</v>
      </c>
      <c r="CD36">
        <v>1289</v>
      </c>
      <c r="CE36">
        <v>300</v>
      </c>
      <c r="CF36">
        <v>96.519006982199997</v>
      </c>
      <c r="CG36">
        <v>814</v>
      </c>
      <c r="CH36">
        <v>194</v>
      </c>
      <c r="CI36">
        <v>129.82432432429999</v>
      </c>
      <c r="CJ36">
        <v>128.8350515464</v>
      </c>
      <c r="CL36" t="s">
        <v>422</v>
      </c>
      <c r="CM36" t="s">
        <v>832</v>
      </c>
      <c r="CN36" t="s">
        <v>838</v>
      </c>
      <c r="CO36">
        <v>89</v>
      </c>
      <c r="CP36">
        <v>4</v>
      </c>
      <c r="CQ36">
        <v>61.651685393299999</v>
      </c>
      <c r="CR36">
        <v>88</v>
      </c>
      <c r="CS36">
        <v>15</v>
      </c>
      <c r="CT36">
        <v>86.761363636400006</v>
      </c>
      <c r="CU36">
        <v>104.53333333330001</v>
      </c>
      <c r="CW36" t="s">
        <v>422</v>
      </c>
      <c r="CX36" t="s">
        <v>848</v>
      </c>
      <c r="CY36" t="s">
        <v>854</v>
      </c>
      <c r="CZ36">
        <v>29</v>
      </c>
      <c r="DA36">
        <v>5</v>
      </c>
      <c r="DB36">
        <v>78.172413793100006</v>
      </c>
      <c r="DC36">
        <v>5</v>
      </c>
      <c r="DD36">
        <v>0</v>
      </c>
      <c r="DE36">
        <v>143</v>
      </c>
      <c r="DF36">
        <v>0</v>
      </c>
      <c r="DH36" t="s">
        <v>422</v>
      </c>
      <c r="DI36" t="s">
        <v>816</v>
      </c>
      <c r="DJ36" t="s">
        <v>822</v>
      </c>
      <c r="DK36">
        <v>21</v>
      </c>
      <c r="DL36">
        <v>2</v>
      </c>
      <c r="DM36">
        <v>72.476190476200003</v>
      </c>
      <c r="DN36">
        <v>11</v>
      </c>
      <c r="DO36">
        <v>1</v>
      </c>
      <c r="DP36">
        <v>150.63636363640001</v>
      </c>
      <c r="DQ36">
        <v>118</v>
      </c>
    </row>
    <row r="37" spans="2:121" x14ac:dyDescent="0.2">
      <c r="B37" t="s">
        <v>121</v>
      </c>
      <c r="C37">
        <v>3368</v>
      </c>
      <c r="D37">
        <v>1219</v>
      </c>
      <c r="F37" t="s">
        <v>85</v>
      </c>
      <c r="G37">
        <v>618</v>
      </c>
      <c r="H37">
        <v>371.1666666667</v>
      </c>
      <c r="I37">
        <v>743</v>
      </c>
      <c r="J37">
        <v>217</v>
      </c>
      <c r="K37">
        <v>674</v>
      </c>
      <c r="L37">
        <v>535</v>
      </c>
      <c r="M37">
        <v>38</v>
      </c>
      <c r="N37">
        <v>1</v>
      </c>
      <c r="O37">
        <v>134</v>
      </c>
      <c r="P37">
        <v>63</v>
      </c>
      <c r="Q37">
        <v>0</v>
      </c>
      <c r="R37">
        <v>0</v>
      </c>
      <c r="T37" t="s">
        <v>397</v>
      </c>
      <c r="U37">
        <v>2086</v>
      </c>
      <c r="V37">
        <v>56.587248322100002</v>
      </c>
      <c r="W37">
        <v>6149</v>
      </c>
      <c r="X37">
        <v>472</v>
      </c>
      <c r="Y37">
        <v>3527</v>
      </c>
      <c r="Z37">
        <v>205</v>
      </c>
      <c r="AA37">
        <v>18</v>
      </c>
      <c r="AB37">
        <v>11</v>
      </c>
      <c r="AC37">
        <v>267</v>
      </c>
      <c r="AD37">
        <v>68</v>
      </c>
      <c r="AE37">
        <v>1766</v>
      </c>
      <c r="AF37">
        <v>530</v>
      </c>
      <c r="AH37" t="s">
        <v>426</v>
      </c>
      <c r="AI37">
        <v>187</v>
      </c>
      <c r="AJ37">
        <v>288.89839572189999</v>
      </c>
      <c r="AK37">
        <v>632</v>
      </c>
      <c r="AL37">
        <v>101</v>
      </c>
      <c r="AM37">
        <v>357</v>
      </c>
      <c r="AN37">
        <v>156</v>
      </c>
      <c r="AO37">
        <v>79</v>
      </c>
      <c r="AP37">
        <v>37</v>
      </c>
      <c r="AQ37">
        <v>130</v>
      </c>
      <c r="AR37">
        <v>61</v>
      </c>
      <c r="AS37">
        <v>0</v>
      </c>
      <c r="AT37">
        <v>0</v>
      </c>
      <c r="AV37" t="s">
        <v>398</v>
      </c>
      <c r="AW37">
        <v>423</v>
      </c>
      <c r="AX37">
        <v>59.520094562600001</v>
      </c>
      <c r="AY37">
        <v>1298</v>
      </c>
      <c r="AZ37">
        <v>111</v>
      </c>
      <c r="BA37">
        <v>739</v>
      </c>
      <c r="BB37">
        <v>50</v>
      </c>
      <c r="BC37">
        <v>8</v>
      </c>
      <c r="BD37">
        <v>3</v>
      </c>
      <c r="BE37">
        <v>49</v>
      </c>
      <c r="BF37">
        <v>9</v>
      </c>
      <c r="BG37">
        <v>124</v>
      </c>
      <c r="BH37">
        <v>111</v>
      </c>
      <c r="BJ37" t="s">
        <v>533</v>
      </c>
      <c r="BK37" t="s">
        <v>376</v>
      </c>
      <c r="BL37">
        <v>7583</v>
      </c>
      <c r="BM37">
        <v>2177</v>
      </c>
      <c r="BN37">
        <v>110.95226163789999</v>
      </c>
      <c r="BO37">
        <v>4964</v>
      </c>
      <c r="BP37">
        <v>950</v>
      </c>
      <c r="BQ37">
        <v>158.3277598711</v>
      </c>
      <c r="BR37">
        <v>152.7431578947</v>
      </c>
      <c r="BS37">
        <v>7715</v>
      </c>
      <c r="BT37">
        <v>2209</v>
      </c>
      <c r="BU37">
        <v>110.9401166559</v>
      </c>
      <c r="BV37">
        <v>5118</v>
      </c>
      <c r="BW37">
        <v>961</v>
      </c>
      <c r="BX37">
        <v>157.8798358734</v>
      </c>
      <c r="BY37">
        <v>153.4193548387</v>
      </c>
      <c r="CA37" t="s">
        <v>381</v>
      </c>
      <c r="CB37" t="s">
        <v>863</v>
      </c>
      <c r="CC37" t="s">
        <v>994</v>
      </c>
      <c r="CD37">
        <v>4084</v>
      </c>
      <c r="CE37">
        <v>899</v>
      </c>
      <c r="CF37">
        <v>93.694417238</v>
      </c>
      <c r="CG37">
        <v>2619</v>
      </c>
      <c r="CH37">
        <v>393</v>
      </c>
      <c r="CI37">
        <v>143.13631156930001</v>
      </c>
      <c r="CJ37">
        <v>152.77099236640001</v>
      </c>
      <c r="CL37" t="s">
        <v>381</v>
      </c>
      <c r="CM37" t="s">
        <v>832</v>
      </c>
      <c r="CN37" t="s">
        <v>839</v>
      </c>
      <c r="CO37">
        <v>455</v>
      </c>
      <c r="CP37">
        <v>44</v>
      </c>
      <c r="CQ37">
        <v>67.835164835200004</v>
      </c>
      <c r="CR37">
        <v>391</v>
      </c>
      <c r="CS37">
        <v>56</v>
      </c>
      <c r="CT37">
        <v>77.601023017900005</v>
      </c>
      <c r="CU37">
        <v>85.142857142899999</v>
      </c>
      <c r="CW37" t="s">
        <v>381</v>
      </c>
      <c r="CX37" t="s">
        <v>848</v>
      </c>
      <c r="CY37" t="s">
        <v>855</v>
      </c>
      <c r="CZ37">
        <v>127</v>
      </c>
      <c r="DA37">
        <v>26</v>
      </c>
      <c r="DB37">
        <v>78.858267716499995</v>
      </c>
      <c r="DC37">
        <v>27</v>
      </c>
      <c r="DD37">
        <v>5</v>
      </c>
      <c r="DE37">
        <v>147.74074074070001</v>
      </c>
      <c r="DF37">
        <v>189</v>
      </c>
      <c r="DH37" t="s">
        <v>381</v>
      </c>
      <c r="DI37" t="s">
        <v>816</v>
      </c>
      <c r="DJ37" t="s">
        <v>823</v>
      </c>
      <c r="DK37">
        <v>88</v>
      </c>
      <c r="DL37">
        <v>19</v>
      </c>
      <c r="DM37">
        <v>81.772727272699996</v>
      </c>
      <c r="DN37">
        <v>37</v>
      </c>
      <c r="DO37">
        <v>5</v>
      </c>
      <c r="DP37">
        <v>128.43243243239999</v>
      </c>
      <c r="DQ37">
        <v>139.80000000000001</v>
      </c>
    </row>
    <row r="38" spans="2:121" x14ac:dyDescent="0.2">
      <c r="B38" t="s">
        <v>102</v>
      </c>
      <c r="C38">
        <v>16016</v>
      </c>
      <c r="D38">
        <v>2023</v>
      </c>
      <c r="F38" t="s">
        <v>55</v>
      </c>
      <c r="G38">
        <v>7761</v>
      </c>
      <c r="H38">
        <v>367.28836490139997</v>
      </c>
      <c r="I38">
        <v>9078</v>
      </c>
      <c r="J38">
        <v>1956</v>
      </c>
      <c r="K38">
        <v>9297</v>
      </c>
      <c r="L38">
        <v>6042</v>
      </c>
      <c r="M38">
        <v>1149</v>
      </c>
      <c r="N38">
        <v>731</v>
      </c>
      <c r="O38">
        <v>4106</v>
      </c>
      <c r="P38">
        <v>3338</v>
      </c>
      <c r="Q38">
        <v>2</v>
      </c>
      <c r="R38">
        <v>29</v>
      </c>
      <c r="T38" t="s">
        <v>387</v>
      </c>
      <c r="U38">
        <v>6497</v>
      </c>
      <c r="V38">
        <v>100.1032784362</v>
      </c>
      <c r="W38">
        <v>9015</v>
      </c>
      <c r="X38">
        <v>1592</v>
      </c>
      <c r="Y38">
        <v>9336</v>
      </c>
      <c r="Z38">
        <v>2841</v>
      </c>
      <c r="AA38">
        <v>181</v>
      </c>
      <c r="AB38">
        <v>170</v>
      </c>
      <c r="AC38">
        <v>597</v>
      </c>
      <c r="AD38">
        <v>185</v>
      </c>
      <c r="AE38">
        <v>1188</v>
      </c>
      <c r="AF38">
        <v>1903</v>
      </c>
      <c r="AH38" t="s">
        <v>398</v>
      </c>
      <c r="AI38">
        <v>7730</v>
      </c>
      <c r="AJ38">
        <v>436.29909443730003</v>
      </c>
      <c r="AK38">
        <v>8996</v>
      </c>
      <c r="AL38">
        <v>2221</v>
      </c>
      <c r="AM38">
        <v>12587</v>
      </c>
      <c r="AN38">
        <v>7423</v>
      </c>
      <c r="AO38">
        <v>1731</v>
      </c>
      <c r="AP38">
        <v>1024</v>
      </c>
      <c r="AQ38">
        <v>3937</v>
      </c>
      <c r="AR38">
        <v>1806</v>
      </c>
      <c r="AS38">
        <v>705</v>
      </c>
      <c r="AT38">
        <v>331</v>
      </c>
      <c r="AV38" t="s">
        <v>403</v>
      </c>
      <c r="AW38">
        <v>161</v>
      </c>
      <c r="AX38">
        <v>50.913043478299997</v>
      </c>
      <c r="AY38">
        <v>433</v>
      </c>
      <c r="AZ38">
        <v>24</v>
      </c>
      <c r="BA38">
        <v>300</v>
      </c>
      <c r="BB38">
        <v>9</v>
      </c>
      <c r="BC38">
        <v>1</v>
      </c>
      <c r="BE38">
        <v>23</v>
      </c>
      <c r="BF38">
        <v>9</v>
      </c>
      <c r="BG38">
        <v>60</v>
      </c>
      <c r="BH38">
        <v>33</v>
      </c>
      <c r="BJ38" t="s">
        <v>536</v>
      </c>
      <c r="BK38" t="s">
        <v>376</v>
      </c>
      <c r="BL38">
        <v>4979</v>
      </c>
      <c r="BM38">
        <v>1488</v>
      </c>
      <c r="BN38">
        <v>110.88592086760001</v>
      </c>
      <c r="BO38">
        <v>2709</v>
      </c>
      <c r="BP38">
        <v>465</v>
      </c>
      <c r="BQ38">
        <v>162.95717977109999</v>
      </c>
      <c r="BR38">
        <v>164.4193548387</v>
      </c>
      <c r="BS38">
        <v>4113</v>
      </c>
      <c r="BT38">
        <v>1459</v>
      </c>
      <c r="BU38">
        <v>125.4553853635</v>
      </c>
      <c r="BV38">
        <v>2191</v>
      </c>
      <c r="BW38">
        <v>382</v>
      </c>
      <c r="BX38">
        <v>182.63578274759999</v>
      </c>
      <c r="BY38">
        <v>178.70157068060001</v>
      </c>
      <c r="CA38" t="s">
        <v>63</v>
      </c>
      <c r="CB38" t="s">
        <v>863</v>
      </c>
      <c r="CC38" t="s">
        <v>525</v>
      </c>
      <c r="CD38">
        <v>8482</v>
      </c>
      <c r="CE38">
        <v>1844</v>
      </c>
      <c r="CF38">
        <v>92.7508842254</v>
      </c>
      <c r="CG38">
        <v>5625</v>
      </c>
      <c r="CH38">
        <v>994</v>
      </c>
      <c r="CI38">
        <v>139.1891555556</v>
      </c>
      <c r="CJ38">
        <v>134.9235412475</v>
      </c>
      <c r="CL38" t="s">
        <v>63</v>
      </c>
      <c r="CM38" t="s">
        <v>832</v>
      </c>
      <c r="CN38" t="s">
        <v>840</v>
      </c>
      <c r="CO38">
        <v>1251</v>
      </c>
      <c r="CP38">
        <v>107</v>
      </c>
      <c r="CQ38">
        <v>66.737809752199993</v>
      </c>
      <c r="CR38">
        <v>957</v>
      </c>
      <c r="CS38">
        <v>172</v>
      </c>
      <c r="CT38">
        <v>81.292580982199993</v>
      </c>
      <c r="CU38">
        <v>90</v>
      </c>
      <c r="CW38" t="s">
        <v>63</v>
      </c>
      <c r="CX38" t="s">
        <v>848</v>
      </c>
      <c r="CY38" t="s">
        <v>856</v>
      </c>
      <c r="CZ38">
        <v>263</v>
      </c>
      <c r="DA38">
        <v>44</v>
      </c>
      <c r="DB38">
        <v>78.323193916299999</v>
      </c>
      <c r="DC38">
        <v>92</v>
      </c>
      <c r="DD38">
        <v>19</v>
      </c>
      <c r="DE38">
        <v>120.4565217391</v>
      </c>
      <c r="DF38">
        <v>138.15789473679999</v>
      </c>
      <c r="DH38" t="s">
        <v>63</v>
      </c>
      <c r="DI38" t="s">
        <v>816</v>
      </c>
      <c r="DJ38" t="s">
        <v>824</v>
      </c>
      <c r="DK38">
        <v>157</v>
      </c>
      <c r="DL38">
        <v>38</v>
      </c>
      <c r="DM38">
        <v>84.101910828000001</v>
      </c>
      <c r="DN38">
        <v>66</v>
      </c>
      <c r="DO38">
        <v>14</v>
      </c>
      <c r="DP38">
        <v>141.2727272727</v>
      </c>
      <c r="DQ38">
        <v>133</v>
      </c>
    </row>
    <row r="39" spans="2:121" x14ac:dyDescent="0.2">
      <c r="B39" t="s">
        <v>130</v>
      </c>
      <c r="C39">
        <v>468</v>
      </c>
      <c r="D39">
        <v>190</v>
      </c>
      <c r="F39" t="s">
        <v>63</v>
      </c>
      <c r="G39">
        <v>4591</v>
      </c>
      <c r="H39">
        <v>303.00108908729999</v>
      </c>
      <c r="I39">
        <v>4684</v>
      </c>
      <c r="J39">
        <v>1143</v>
      </c>
      <c r="K39">
        <v>6156</v>
      </c>
      <c r="L39">
        <v>4210</v>
      </c>
      <c r="M39">
        <v>3654</v>
      </c>
      <c r="N39">
        <v>3005</v>
      </c>
      <c r="O39">
        <v>560</v>
      </c>
      <c r="P39">
        <v>191</v>
      </c>
      <c r="Q39">
        <v>0</v>
      </c>
      <c r="R39">
        <v>1</v>
      </c>
      <c r="T39" t="s">
        <v>376</v>
      </c>
      <c r="U39">
        <v>6913</v>
      </c>
      <c r="V39">
        <v>103.6761174599</v>
      </c>
      <c r="W39">
        <v>10773</v>
      </c>
      <c r="X39">
        <v>2231</v>
      </c>
      <c r="Y39">
        <v>9709</v>
      </c>
      <c r="Z39">
        <v>3309</v>
      </c>
      <c r="AA39">
        <v>360</v>
      </c>
      <c r="AB39">
        <v>347</v>
      </c>
      <c r="AC39">
        <v>721</v>
      </c>
      <c r="AD39">
        <v>230</v>
      </c>
      <c r="AE39">
        <v>1274</v>
      </c>
      <c r="AF39">
        <v>2482</v>
      </c>
      <c r="AH39" t="s">
        <v>419</v>
      </c>
      <c r="AI39">
        <v>3261</v>
      </c>
      <c r="AJ39">
        <v>324.5311254216</v>
      </c>
      <c r="AK39">
        <v>6475</v>
      </c>
      <c r="AL39">
        <v>1029</v>
      </c>
      <c r="AM39">
        <v>5304</v>
      </c>
      <c r="AN39">
        <v>2813</v>
      </c>
      <c r="AO39">
        <v>1569</v>
      </c>
      <c r="AP39">
        <v>605</v>
      </c>
      <c r="AQ39">
        <v>1876</v>
      </c>
      <c r="AR39">
        <v>729</v>
      </c>
      <c r="AS39">
        <v>8</v>
      </c>
      <c r="AT39">
        <v>60</v>
      </c>
      <c r="AV39" t="s">
        <v>421</v>
      </c>
      <c r="AW39">
        <v>46</v>
      </c>
      <c r="AX39">
        <v>112.347826087</v>
      </c>
      <c r="AY39">
        <v>65</v>
      </c>
      <c r="AZ39">
        <v>8</v>
      </c>
      <c r="BA39">
        <v>62</v>
      </c>
      <c r="BB39">
        <v>25</v>
      </c>
      <c r="BC39">
        <v>4</v>
      </c>
      <c r="BD39">
        <v>4</v>
      </c>
      <c r="BE39">
        <v>4</v>
      </c>
      <c r="BF39">
        <v>2</v>
      </c>
      <c r="BG39">
        <v>16</v>
      </c>
      <c r="BH39">
        <v>16</v>
      </c>
      <c r="BJ39" t="s">
        <v>521</v>
      </c>
      <c r="BK39" t="s">
        <v>376</v>
      </c>
      <c r="BL39">
        <v>2426</v>
      </c>
      <c r="BM39">
        <v>398</v>
      </c>
      <c r="BN39">
        <v>76.806677658699996</v>
      </c>
      <c r="BO39">
        <v>3974</v>
      </c>
      <c r="BP39">
        <v>739</v>
      </c>
      <c r="BQ39">
        <v>50.845495722199999</v>
      </c>
      <c r="BR39">
        <v>52.293640054100003</v>
      </c>
      <c r="BS39">
        <v>3791</v>
      </c>
      <c r="BT39">
        <v>1015</v>
      </c>
      <c r="BU39">
        <v>96.482986019500004</v>
      </c>
      <c r="BV39">
        <v>4908</v>
      </c>
      <c r="BW39">
        <v>955</v>
      </c>
      <c r="BX39">
        <v>80.214751426199996</v>
      </c>
      <c r="BY39">
        <v>83.534031413600005</v>
      </c>
      <c r="CA39" t="s">
        <v>389</v>
      </c>
      <c r="CB39" t="s">
        <v>863</v>
      </c>
      <c r="CC39" t="s">
        <v>995</v>
      </c>
      <c r="CD39">
        <v>16336</v>
      </c>
      <c r="CE39">
        <v>4115</v>
      </c>
      <c r="CF39">
        <v>99.534463760999998</v>
      </c>
      <c r="CG39">
        <v>10488</v>
      </c>
      <c r="CH39">
        <v>2027</v>
      </c>
      <c r="CI39">
        <v>143.59887490470001</v>
      </c>
      <c r="CJ39">
        <v>136.15046867289999</v>
      </c>
      <c r="CL39" t="s">
        <v>389</v>
      </c>
      <c r="CM39" t="s">
        <v>832</v>
      </c>
      <c r="CN39" t="s">
        <v>841</v>
      </c>
      <c r="CO39">
        <v>1179</v>
      </c>
      <c r="CP39">
        <v>119</v>
      </c>
      <c r="CQ39">
        <v>66.065309584399998</v>
      </c>
      <c r="CR39">
        <v>933</v>
      </c>
      <c r="CS39">
        <v>172</v>
      </c>
      <c r="CT39">
        <v>81.674169346200003</v>
      </c>
      <c r="CU39">
        <v>93.156976744199994</v>
      </c>
      <c r="CW39" t="s">
        <v>389</v>
      </c>
      <c r="CX39" t="s">
        <v>848</v>
      </c>
      <c r="CY39" t="s">
        <v>857</v>
      </c>
      <c r="CZ39">
        <v>671</v>
      </c>
      <c r="DA39">
        <v>151</v>
      </c>
      <c r="DB39">
        <v>83.561847988099998</v>
      </c>
      <c r="DC39">
        <v>213</v>
      </c>
      <c r="DD39">
        <v>39</v>
      </c>
      <c r="DE39">
        <v>146.6431924883</v>
      </c>
      <c r="DF39">
        <v>149.1794871795</v>
      </c>
      <c r="DH39" t="s">
        <v>389</v>
      </c>
      <c r="DI39" t="s">
        <v>816</v>
      </c>
      <c r="DJ39" t="s">
        <v>825</v>
      </c>
      <c r="DK39">
        <v>1314</v>
      </c>
      <c r="DL39">
        <v>275</v>
      </c>
      <c r="DM39">
        <v>80.803652967999994</v>
      </c>
      <c r="DN39">
        <v>356</v>
      </c>
      <c r="DO39">
        <v>52</v>
      </c>
      <c r="DP39">
        <v>140.43539325840001</v>
      </c>
      <c r="DQ39">
        <v>143.2115384615</v>
      </c>
    </row>
    <row r="40" spans="2:121" x14ac:dyDescent="0.2">
      <c r="B40" t="s">
        <v>111</v>
      </c>
      <c r="C40">
        <v>7123</v>
      </c>
      <c r="D40">
        <v>5599</v>
      </c>
      <c r="F40" t="s">
        <v>52</v>
      </c>
      <c r="G40">
        <v>4274</v>
      </c>
      <c r="H40">
        <v>392.96817969120002</v>
      </c>
      <c r="I40">
        <v>4181</v>
      </c>
      <c r="J40">
        <v>1131</v>
      </c>
      <c r="K40">
        <v>6539</v>
      </c>
      <c r="L40">
        <v>4383</v>
      </c>
      <c r="M40">
        <v>2037</v>
      </c>
      <c r="N40">
        <v>1590</v>
      </c>
      <c r="O40">
        <v>2121</v>
      </c>
      <c r="P40">
        <v>1673</v>
      </c>
      <c r="Q40">
        <v>39</v>
      </c>
      <c r="R40">
        <v>179</v>
      </c>
      <c r="T40" t="s">
        <v>8</v>
      </c>
      <c r="U40">
        <v>139</v>
      </c>
      <c r="V40">
        <v>106.05035971220001</v>
      </c>
      <c r="W40">
        <v>193</v>
      </c>
      <c r="X40">
        <v>84</v>
      </c>
      <c r="Y40">
        <v>296</v>
      </c>
      <c r="Z40">
        <v>162</v>
      </c>
      <c r="AA40">
        <v>13</v>
      </c>
      <c r="AB40">
        <v>10</v>
      </c>
      <c r="AC40">
        <v>14</v>
      </c>
      <c r="AD40">
        <v>8</v>
      </c>
      <c r="AE40">
        <v>46</v>
      </c>
      <c r="AF40">
        <v>17</v>
      </c>
      <c r="AH40" t="s">
        <v>416</v>
      </c>
      <c r="AI40">
        <v>8584</v>
      </c>
      <c r="AJ40">
        <v>405.61544734389997</v>
      </c>
      <c r="AK40">
        <v>4854</v>
      </c>
      <c r="AL40">
        <v>1214</v>
      </c>
      <c r="AM40">
        <v>11684</v>
      </c>
      <c r="AN40">
        <v>8332</v>
      </c>
      <c r="AO40">
        <v>3384</v>
      </c>
      <c r="AP40">
        <v>2656</v>
      </c>
      <c r="AQ40">
        <v>2299</v>
      </c>
      <c r="AR40">
        <v>1093</v>
      </c>
      <c r="AS40">
        <v>5</v>
      </c>
      <c r="AT40">
        <v>74</v>
      </c>
      <c r="AV40" t="s">
        <v>417</v>
      </c>
      <c r="AW40">
        <v>530</v>
      </c>
      <c r="AX40">
        <v>48.118867924500002</v>
      </c>
      <c r="AY40">
        <v>1406</v>
      </c>
      <c r="AZ40">
        <v>36</v>
      </c>
      <c r="BA40">
        <v>958</v>
      </c>
      <c r="BB40">
        <v>55</v>
      </c>
      <c r="BC40">
        <v>10</v>
      </c>
      <c r="BD40">
        <v>8</v>
      </c>
      <c r="BE40">
        <v>54</v>
      </c>
      <c r="BF40">
        <v>27</v>
      </c>
      <c r="BG40">
        <v>1121</v>
      </c>
      <c r="BH40">
        <v>199</v>
      </c>
      <c r="BJ40" t="s">
        <v>542</v>
      </c>
      <c r="BK40" t="s">
        <v>376</v>
      </c>
      <c r="BL40">
        <v>11203</v>
      </c>
      <c r="BM40">
        <v>2068</v>
      </c>
      <c r="BN40">
        <v>88.269659912500003</v>
      </c>
      <c r="BO40">
        <v>6060</v>
      </c>
      <c r="BP40">
        <v>934</v>
      </c>
      <c r="BQ40">
        <v>147.14917491750001</v>
      </c>
      <c r="BR40">
        <v>166.70663811559999</v>
      </c>
      <c r="BS40">
        <v>11025</v>
      </c>
      <c r="BT40">
        <v>1903</v>
      </c>
      <c r="BU40">
        <v>85.001723355999999</v>
      </c>
      <c r="BV40">
        <v>6427</v>
      </c>
      <c r="BW40">
        <v>960</v>
      </c>
      <c r="BX40">
        <v>140.63124319280001</v>
      </c>
      <c r="BY40">
        <v>159.16458333329999</v>
      </c>
      <c r="CA40" t="s">
        <v>382</v>
      </c>
      <c r="CB40" t="s">
        <v>863</v>
      </c>
      <c r="CC40" t="s">
        <v>996</v>
      </c>
      <c r="CD40">
        <v>9164</v>
      </c>
      <c r="CE40">
        <v>2439</v>
      </c>
      <c r="CF40">
        <v>103.8238760367</v>
      </c>
      <c r="CG40">
        <v>6134</v>
      </c>
      <c r="CH40">
        <v>1122</v>
      </c>
      <c r="CI40">
        <v>149.5238017607</v>
      </c>
      <c r="CJ40">
        <v>145.04188948309999</v>
      </c>
      <c r="CL40" t="s">
        <v>382</v>
      </c>
      <c r="CM40" t="s">
        <v>832</v>
      </c>
      <c r="CN40" t="s">
        <v>842</v>
      </c>
      <c r="CO40">
        <v>1508</v>
      </c>
      <c r="CP40">
        <v>138</v>
      </c>
      <c r="CQ40">
        <v>65.431034482800001</v>
      </c>
      <c r="CR40">
        <v>1131</v>
      </c>
      <c r="CS40">
        <v>203</v>
      </c>
      <c r="CT40">
        <v>81.244916003499995</v>
      </c>
      <c r="CU40">
        <v>76.679802955699998</v>
      </c>
      <c r="CW40" t="s">
        <v>382</v>
      </c>
      <c r="CX40" t="s">
        <v>848</v>
      </c>
      <c r="CY40" t="s">
        <v>858</v>
      </c>
      <c r="CZ40">
        <v>206</v>
      </c>
      <c r="DA40">
        <v>43</v>
      </c>
      <c r="DB40">
        <v>85.393203883499993</v>
      </c>
      <c r="DC40">
        <v>79</v>
      </c>
      <c r="DD40">
        <v>15</v>
      </c>
      <c r="DE40">
        <v>129.2025316456</v>
      </c>
      <c r="DF40">
        <v>142.6666666667</v>
      </c>
      <c r="DH40" t="s">
        <v>382</v>
      </c>
      <c r="DI40" t="s">
        <v>816</v>
      </c>
      <c r="DJ40" t="s">
        <v>826</v>
      </c>
      <c r="DK40">
        <v>140</v>
      </c>
      <c r="DL40">
        <v>29</v>
      </c>
      <c r="DM40">
        <v>87.128571428599997</v>
      </c>
      <c r="DN40">
        <v>72</v>
      </c>
      <c r="DO40">
        <v>13</v>
      </c>
      <c r="DP40">
        <v>125.4166666667</v>
      </c>
      <c r="DQ40">
        <v>145.30769230769999</v>
      </c>
    </row>
    <row r="41" spans="2:121" x14ac:dyDescent="0.2">
      <c r="B41" t="s">
        <v>119</v>
      </c>
      <c r="C41">
        <v>16544</v>
      </c>
      <c r="D41">
        <v>3976</v>
      </c>
      <c r="F41" t="s">
        <v>25</v>
      </c>
      <c r="G41">
        <v>13626</v>
      </c>
      <c r="H41">
        <v>350.11911052400001</v>
      </c>
      <c r="I41">
        <v>17489</v>
      </c>
      <c r="J41">
        <v>4282</v>
      </c>
      <c r="K41">
        <v>19180</v>
      </c>
      <c r="L41">
        <v>13527</v>
      </c>
      <c r="M41">
        <v>5689</v>
      </c>
      <c r="N41">
        <v>3977</v>
      </c>
      <c r="O41">
        <v>10712</v>
      </c>
      <c r="P41">
        <v>7707</v>
      </c>
      <c r="Q41">
        <v>62</v>
      </c>
      <c r="R41">
        <v>5</v>
      </c>
      <c r="T41" t="s">
        <v>392</v>
      </c>
      <c r="U41">
        <v>1340</v>
      </c>
      <c r="V41">
        <v>51.192537313400003</v>
      </c>
      <c r="W41">
        <v>3271</v>
      </c>
      <c r="X41">
        <v>146</v>
      </c>
      <c r="Y41">
        <v>2242</v>
      </c>
      <c r="Z41">
        <v>151</v>
      </c>
      <c r="AA41">
        <v>23</v>
      </c>
      <c r="AB41">
        <v>19</v>
      </c>
      <c r="AC41">
        <v>177</v>
      </c>
      <c r="AD41">
        <v>56</v>
      </c>
      <c r="AE41">
        <v>2286</v>
      </c>
      <c r="AF41">
        <v>410</v>
      </c>
      <c r="AH41" t="s">
        <v>8</v>
      </c>
      <c r="AI41">
        <v>4408</v>
      </c>
      <c r="AJ41">
        <v>384.1084392015</v>
      </c>
      <c r="AK41">
        <v>3948</v>
      </c>
      <c r="AL41">
        <v>1594</v>
      </c>
      <c r="AM41">
        <v>5681</v>
      </c>
      <c r="AN41">
        <v>3986</v>
      </c>
      <c r="AO41">
        <v>872</v>
      </c>
      <c r="AP41">
        <v>491</v>
      </c>
      <c r="AQ41">
        <v>1410</v>
      </c>
      <c r="AR41">
        <v>821</v>
      </c>
      <c r="AS41">
        <v>405</v>
      </c>
      <c r="AT41">
        <v>130</v>
      </c>
      <c r="AV41" t="s">
        <v>63</v>
      </c>
      <c r="AW41">
        <v>1187</v>
      </c>
      <c r="AX41">
        <v>104.9233361415</v>
      </c>
      <c r="AY41">
        <v>2277</v>
      </c>
      <c r="AZ41">
        <v>492</v>
      </c>
      <c r="BA41">
        <v>1718</v>
      </c>
      <c r="BB41">
        <v>594</v>
      </c>
      <c r="BC41">
        <v>43</v>
      </c>
      <c r="BD41">
        <v>42</v>
      </c>
      <c r="BE41">
        <v>116</v>
      </c>
      <c r="BF41">
        <v>49</v>
      </c>
      <c r="BG41">
        <v>187</v>
      </c>
      <c r="BH41">
        <v>388</v>
      </c>
      <c r="BJ41" t="s">
        <v>634</v>
      </c>
      <c r="BK41" t="s">
        <v>376</v>
      </c>
      <c r="BL41">
        <v>1224</v>
      </c>
      <c r="BM41">
        <v>155</v>
      </c>
      <c r="BN41">
        <v>71.982026143799999</v>
      </c>
      <c r="BO41">
        <v>1017</v>
      </c>
      <c r="BP41">
        <v>176</v>
      </c>
      <c r="BQ41">
        <v>105.6784660767</v>
      </c>
      <c r="BR41">
        <v>98.693181818200003</v>
      </c>
      <c r="BS41">
        <v>6149</v>
      </c>
      <c r="BT41">
        <v>1156</v>
      </c>
      <c r="BU41">
        <v>88.058546105100007</v>
      </c>
      <c r="BV41">
        <v>3682</v>
      </c>
      <c r="BW41">
        <v>639</v>
      </c>
      <c r="BX41">
        <v>130.93128734379999</v>
      </c>
      <c r="BY41">
        <v>137.1251956182</v>
      </c>
      <c r="CA41" t="s">
        <v>379</v>
      </c>
      <c r="CB41" t="s">
        <v>863</v>
      </c>
      <c r="CC41" t="s">
        <v>997</v>
      </c>
      <c r="CD41">
        <v>891</v>
      </c>
      <c r="CE41">
        <v>166</v>
      </c>
      <c r="CF41">
        <v>89.301907968600005</v>
      </c>
      <c r="CG41">
        <v>644</v>
      </c>
      <c r="CH41">
        <v>128</v>
      </c>
      <c r="CI41">
        <v>111.1086956522</v>
      </c>
      <c r="CJ41">
        <v>108.1953125</v>
      </c>
      <c r="CL41" t="s">
        <v>379</v>
      </c>
      <c r="CM41" t="s">
        <v>832</v>
      </c>
      <c r="CN41" t="s">
        <v>843</v>
      </c>
      <c r="CO41">
        <v>99</v>
      </c>
      <c r="CP41">
        <v>16</v>
      </c>
      <c r="CQ41">
        <v>77.535353535400006</v>
      </c>
      <c r="CR41">
        <v>106</v>
      </c>
      <c r="CS41">
        <v>19</v>
      </c>
      <c r="CT41">
        <v>85.226415094299995</v>
      </c>
      <c r="CU41">
        <v>90.210526315799996</v>
      </c>
      <c r="CW41" t="s">
        <v>379</v>
      </c>
      <c r="CX41" t="s">
        <v>848</v>
      </c>
      <c r="CY41" t="s">
        <v>859</v>
      </c>
      <c r="CZ41">
        <v>11</v>
      </c>
      <c r="DA41">
        <v>3</v>
      </c>
      <c r="DB41">
        <v>88.545454545499993</v>
      </c>
      <c r="DC41">
        <v>6</v>
      </c>
      <c r="DD41">
        <v>3</v>
      </c>
      <c r="DE41">
        <v>156.5</v>
      </c>
      <c r="DF41">
        <v>139.6666666667</v>
      </c>
      <c r="DH41" t="s">
        <v>379</v>
      </c>
      <c r="DI41" t="s">
        <v>816</v>
      </c>
      <c r="DJ41" t="s">
        <v>827</v>
      </c>
      <c r="DK41">
        <v>8</v>
      </c>
      <c r="DL41">
        <v>1</v>
      </c>
      <c r="DM41">
        <v>91</v>
      </c>
      <c r="DN41">
        <v>8</v>
      </c>
      <c r="DO41">
        <v>2</v>
      </c>
      <c r="DP41">
        <v>111.5</v>
      </c>
      <c r="DQ41">
        <v>93.5</v>
      </c>
    </row>
    <row r="42" spans="2:121" x14ac:dyDescent="0.2">
      <c r="B42" t="s">
        <v>118</v>
      </c>
      <c r="C42">
        <v>8451</v>
      </c>
      <c r="D42">
        <v>377</v>
      </c>
      <c r="F42" t="s">
        <v>78</v>
      </c>
      <c r="G42">
        <v>4856</v>
      </c>
      <c r="H42">
        <v>261.56425041189999</v>
      </c>
      <c r="I42">
        <v>6020</v>
      </c>
      <c r="J42">
        <v>895</v>
      </c>
      <c r="K42">
        <v>6881</v>
      </c>
      <c r="L42">
        <v>4470</v>
      </c>
      <c r="M42">
        <v>2401</v>
      </c>
      <c r="N42">
        <v>1941</v>
      </c>
      <c r="O42">
        <v>5451</v>
      </c>
      <c r="P42">
        <v>4730</v>
      </c>
      <c r="Q42">
        <v>0</v>
      </c>
      <c r="R42">
        <v>73</v>
      </c>
      <c r="T42" t="s">
        <v>411</v>
      </c>
      <c r="U42">
        <v>1128</v>
      </c>
      <c r="V42">
        <v>43.929078014200002</v>
      </c>
      <c r="W42">
        <v>3531</v>
      </c>
      <c r="X42">
        <v>137</v>
      </c>
      <c r="Y42">
        <v>1836</v>
      </c>
      <c r="Z42">
        <v>94</v>
      </c>
      <c r="AA42">
        <v>17</v>
      </c>
      <c r="AB42">
        <v>14</v>
      </c>
      <c r="AC42">
        <v>130</v>
      </c>
      <c r="AD42">
        <v>44</v>
      </c>
      <c r="AE42">
        <v>2449</v>
      </c>
      <c r="AF42">
        <v>402</v>
      </c>
      <c r="AH42" t="s">
        <v>382</v>
      </c>
      <c r="AI42">
        <v>8353</v>
      </c>
      <c r="AJ42">
        <v>430.6853824973</v>
      </c>
      <c r="AK42">
        <v>9518</v>
      </c>
      <c r="AL42">
        <v>2527</v>
      </c>
      <c r="AM42">
        <v>12651</v>
      </c>
      <c r="AN42">
        <v>8799</v>
      </c>
      <c r="AO42">
        <v>1788</v>
      </c>
      <c r="AP42">
        <v>986</v>
      </c>
      <c r="AQ42">
        <v>5959</v>
      </c>
      <c r="AR42">
        <v>4779</v>
      </c>
      <c r="AS42">
        <v>1386</v>
      </c>
      <c r="AT42">
        <v>9</v>
      </c>
      <c r="AV42" t="s">
        <v>418</v>
      </c>
      <c r="AW42">
        <v>127</v>
      </c>
      <c r="AX42">
        <v>56.984251968499997</v>
      </c>
      <c r="AY42">
        <v>299</v>
      </c>
      <c r="AZ42">
        <v>26</v>
      </c>
      <c r="BA42">
        <v>228</v>
      </c>
      <c r="BB42">
        <v>22</v>
      </c>
      <c r="BC42">
        <v>5</v>
      </c>
      <c r="BD42">
        <v>4</v>
      </c>
      <c r="BE42">
        <v>24</v>
      </c>
      <c r="BF42">
        <v>4</v>
      </c>
      <c r="BG42">
        <v>74</v>
      </c>
      <c r="BH42">
        <v>31</v>
      </c>
      <c r="BJ42" t="s">
        <v>636</v>
      </c>
      <c r="BK42" t="s">
        <v>376</v>
      </c>
      <c r="BL42">
        <v>545</v>
      </c>
      <c r="BM42">
        <v>127</v>
      </c>
      <c r="BN42">
        <v>92.262385321099998</v>
      </c>
      <c r="BO42">
        <v>164</v>
      </c>
      <c r="BP42">
        <v>42</v>
      </c>
      <c r="BQ42">
        <v>132.91463414629999</v>
      </c>
      <c r="BR42">
        <v>146.45238095240001</v>
      </c>
      <c r="BS42">
        <v>652</v>
      </c>
      <c r="BT42">
        <v>250</v>
      </c>
      <c r="BU42">
        <v>118.20858895710001</v>
      </c>
      <c r="BV42">
        <v>335</v>
      </c>
      <c r="BW42">
        <v>62</v>
      </c>
      <c r="BX42">
        <v>169.88059701489999</v>
      </c>
      <c r="BY42">
        <v>181.61290322580001</v>
      </c>
      <c r="CA42" t="s">
        <v>424</v>
      </c>
      <c r="CB42" t="s">
        <v>863</v>
      </c>
      <c r="CC42" t="s">
        <v>998</v>
      </c>
      <c r="CD42">
        <v>515</v>
      </c>
      <c r="CE42">
        <v>111</v>
      </c>
      <c r="CF42">
        <v>88.252427184499993</v>
      </c>
      <c r="CG42">
        <v>203</v>
      </c>
      <c r="CH42">
        <v>48</v>
      </c>
      <c r="CI42">
        <v>133.2167487685</v>
      </c>
      <c r="CJ42">
        <v>142.4791666667</v>
      </c>
      <c r="CL42" t="s">
        <v>424</v>
      </c>
      <c r="CM42" t="s">
        <v>832</v>
      </c>
      <c r="CN42" t="s">
        <v>844</v>
      </c>
      <c r="CO42">
        <v>39</v>
      </c>
      <c r="CP42">
        <v>4</v>
      </c>
      <c r="CQ42">
        <v>67.410256410299993</v>
      </c>
      <c r="CR42">
        <v>23</v>
      </c>
      <c r="CS42">
        <v>3</v>
      </c>
      <c r="CT42">
        <v>87.565217391299996</v>
      </c>
      <c r="CU42">
        <v>65.333333333300004</v>
      </c>
      <c r="CW42" t="s">
        <v>424</v>
      </c>
      <c r="CX42" t="s">
        <v>848</v>
      </c>
      <c r="CY42" t="s">
        <v>860</v>
      </c>
      <c r="CZ42">
        <v>5</v>
      </c>
      <c r="DA42">
        <v>2</v>
      </c>
      <c r="DB42">
        <v>118.4</v>
      </c>
      <c r="DC42">
        <v>3</v>
      </c>
      <c r="DD42">
        <v>1</v>
      </c>
      <c r="DE42">
        <v>108</v>
      </c>
      <c r="DF42">
        <v>132</v>
      </c>
      <c r="DH42" t="s">
        <v>424</v>
      </c>
      <c r="DI42" t="s">
        <v>816</v>
      </c>
      <c r="DJ42" t="s">
        <v>828</v>
      </c>
      <c r="DK42">
        <v>4</v>
      </c>
      <c r="DL42">
        <v>1</v>
      </c>
      <c r="DM42">
        <v>74.25</v>
      </c>
      <c r="DN42">
        <v>5</v>
      </c>
      <c r="DO42">
        <v>1</v>
      </c>
      <c r="DP42">
        <v>93.2</v>
      </c>
      <c r="DQ42">
        <v>129</v>
      </c>
    </row>
    <row r="43" spans="2:121" x14ac:dyDescent="0.2">
      <c r="B43" t="s">
        <v>133</v>
      </c>
      <c r="C43">
        <v>63996</v>
      </c>
      <c r="D43">
        <v>57108</v>
      </c>
      <c r="F43" t="s">
        <v>69</v>
      </c>
      <c r="G43">
        <v>7784</v>
      </c>
      <c r="H43">
        <v>407.40788797530001</v>
      </c>
      <c r="I43">
        <v>4526</v>
      </c>
      <c r="J43">
        <v>1183</v>
      </c>
      <c r="K43">
        <v>9649</v>
      </c>
      <c r="L43">
        <v>7154</v>
      </c>
      <c r="M43">
        <v>3464</v>
      </c>
      <c r="N43">
        <v>2833</v>
      </c>
      <c r="O43">
        <v>1751</v>
      </c>
      <c r="P43">
        <v>958</v>
      </c>
      <c r="Q43">
        <v>0</v>
      </c>
      <c r="R43">
        <v>72</v>
      </c>
      <c r="AH43" t="s">
        <v>434</v>
      </c>
      <c r="AI43">
        <v>3000</v>
      </c>
      <c r="AJ43">
        <v>404.87233333329999</v>
      </c>
      <c r="AK43">
        <v>3453</v>
      </c>
      <c r="AL43">
        <v>844</v>
      </c>
      <c r="AM43">
        <v>5415</v>
      </c>
      <c r="AN43">
        <v>3692</v>
      </c>
      <c r="AO43">
        <v>837</v>
      </c>
      <c r="AP43">
        <v>642</v>
      </c>
      <c r="AQ43">
        <v>1363</v>
      </c>
      <c r="AR43">
        <v>891</v>
      </c>
      <c r="AS43">
        <v>348</v>
      </c>
      <c r="AT43">
        <v>2</v>
      </c>
      <c r="AV43" t="s">
        <v>423</v>
      </c>
      <c r="AW43">
        <v>136</v>
      </c>
      <c r="AX43">
        <v>105.4264705882</v>
      </c>
      <c r="AY43">
        <v>144</v>
      </c>
      <c r="AZ43">
        <v>35</v>
      </c>
      <c r="BA43">
        <v>176</v>
      </c>
      <c r="BB43">
        <v>62</v>
      </c>
      <c r="BC43">
        <v>4</v>
      </c>
      <c r="BD43">
        <v>4</v>
      </c>
      <c r="BE43">
        <v>16</v>
      </c>
      <c r="BF43">
        <v>3</v>
      </c>
      <c r="BG43">
        <v>30</v>
      </c>
      <c r="BH43">
        <v>34</v>
      </c>
      <c r="BJ43" t="s">
        <v>650</v>
      </c>
      <c r="BK43" t="s">
        <v>376</v>
      </c>
      <c r="BL43">
        <v>758</v>
      </c>
      <c r="BM43">
        <v>222</v>
      </c>
      <c r="BN43">
        <v>105.7335092348</v>
      </c>
      <c r="BO43">
        <v>482</v>
      </c>
      <c r="BP43">
        <v>66</v>
      </c>
      <c r="BQ43">
        <v>140.07053941909999</v>
      </c>
      <c r="BR43">
        <v>150.04545454550001</v>
      </c>
      <c r="BS43">
        <v>500</v>
      </c>
      <c r="BT43">
        <v>121</v>
      </c>
      <c r="BU43">
        <v>80.617999999999995</v>
      </c>
      <c r="BV43">
        <v>243</v>
      </c>
      <c r="BW43">
        <v>37</v>
      </c>
      <c r="BX43">
        <v>112.4567901235</v>
      </c>
      <c r="BY43">
        <v>110.05405405410001</v>
      </c>
      <c r="CA43" t="s">
        <v>385</v>
      </c>
      <c r="CB43" t="s">
        <v>863</v>
      </c>
      <c r="CC43" t="s">
        <v>999</v>
      </c>
      <c r="CD43">
        <v>10871</v>
      </c>
      <c r="CE43">
        <v>2123</v>
      </c>
      <c r="CF43">
        <v>89.780884923200006</v>
      </c>
      <c r="CG43">
        <v>6498</v>
      </c>
      <c r="CH43">
        <v>1010</v>
      </c>
      <c r="CI43">
        <v>141.71237303789999</v>
      </c>
      <c r="CJ43">
        <v>153.96534653469999</v>
      </c>
      <c r="CL43" t="s">
        <v>385</v>
      </c>
      <c r="CM43" t="s">
        <v>832</v>
      </c>
      <c r="CN43" t="s">
        <v>845</v>
      </c>
      <c r="CO43">
        <v>740</v>
      </c>
      <c r="CP43">
        <v>87</v>
      </c>
      <c r="CQ43">
        <v>69.660810810800001</v>
      </c>
      <c r="CR43">
        <v>627</v>
      </c>
      <c r="CS43">
        <v>102</v>
      </c>
      <c r="CT43">
        <v>90.457735247200006</v>
      </c>
      <c r="CU43">
        <v>91.578431372500006</v>
      </c>
      <c r="CW43" t="s">
        <v>385</v>
      </c>
      <c r="CX43" t="s">
        <v>848</v>
      </c>
      <c r="CY43" t="s">
        <v>861</v>
      </c>
      <c r="CZ43">
        <v>728</v>
      </c>
      <c r="DA43">
        <v>167</v>
      </c>
      <c r="DB43">
        <v>84.785714285699996</v>
      </c>
      <c r="DC43">
        <v>216</v>
      </c>
      <c r="DD43">
        <v>42</v>
      </c>
      <c r="DE43">
        <v>164.5833333333</v>
      </c>
      <c r="DF43">
        <v>174.80952380950001</v>
      </c>
      <c r="DH43" t="s">
        <v>385</v>
      </c>
      <c r="DI43" t="s">
        <v>816</v>
      </c>
      <c r="DJ43" t="s">
        <v>829</v>
      </c>
      <c r="DK43">
        <v>1302</v>
      </c>
      <c r="DL43">
        <v>322</v>
      </c>
      <c r="DM43">
        <v>87.311059907800001</v>
      </c>
      <c r="DN43">
        <v>322</v>
      </c>
      <c r="DO43">
        <v>64</v>
      </c>
      <c r="DP43">
        <v>148.900621118</v>
      </c>
      <c r="DQ43">
        <v>151.53125</v>
      </c>
    </row>
    <row r="44" spans="2:121" x14ac:dyDescent="0.2">
      <c r="B44" t="s">
        <v>132</v>
      </c>
      <c r="C44">
        <v>9762</v>
      </c>
      <c r="D44">
        <v>7205</v>
      </c>
      <c r="F44" t="s">
        <v>35</v>
      </c>
      <c r="G44">
        <v>1978</v>
      </c>
      <c r="H44">
        <v>445.00758341760002</v>
      </c>
      <c r="I44">
        <v>1183</v>
      </c>
      <c r="J44">
        <v>324</v>
      </c>
      <c r="K44">
        <v>2693</v>
      </c>
      <c r="L44">
        <v>1855</v>
      </c>
      <c r="M44">
        <v>1818</v>
      </c>
      <c r="N44">
        <v>1687</v>
      </c>
      <c r="O44">
        <v>382</v>
      </c>
      <c r="P44">
        <v>146</v>
      </c>
      <c r="Q44">
        <v>0</v>
      </c>
      <c r="R44">
        <v>2</v>
      </c>
      <c r="AH44" t="s">
        <v>379</v>
      </c>
      <c r="AI44">
        <v>420</v>
      </c>
      <c r="AJ44">
        <v>229.95</v>
      </c>
      <c r="AK44">
        <v>884</v>
      </c>
      <c r="AL44">
        <v>172</v>
      </c>
      <c r="AM44">
        <v>807</v>
      </c>
      <c r="AN44">
        <v>342</v>
      </c>
      <c r="AO44">
        <v>289</v>
      </c>
      <c r="AP44">
        <v>205</v>
      </c>
      <c r="AQ44">
        <v>156</v>
      </c>
      <c r="AR44">
        <v>76</v>
      </c>
      <c r="AS44">
        <v>200</v>
      </c>
      <c r="AT44">
        <v>3</v>
      </c>
      <c r="AV44" t="s">
        <v>401</v>
      </c>
      <c r="AW44">
        <v>327</v>
      </c>
      <c r="AX44">
        <v>59.333333333299997</v>
      </c>
      <c r="AY44">
        <v>928</v>
      </c>
      <c r="AZ44">
        <v>80</v>
      </c>
      <c r="BA44">
        <v>509</v>
      </c>
      <c r="BB44">
        <v>30</v>
      </c>
      <c r="BC44">
        <v>2</v>
      </c>
      <c r="BD44">
        <v>1</v>
      </c>
      <c r="BE44">
        <v>56</v>
      </c>
      <c r="BF44">
        <v>14</v>
      </c>
      <c r="BG44">
        <v>87</v>
      </c>
      <c r="BH44">
        <v>128</v>
      </c>
      <c r="BJ44" t="s">
        <v>550</v>
      </c>
      <c r="BK44" t="s">
        <v>376</v>
      </c>
      <c r="BL44">
        <v>17175</v>
      </c>
      <c r="BM44">
        <v>4290</v>
      </c>
      <c r="BN44">
        <v>99.232663755499999</v>
      </c>
      <c r="BO44">
        <v>10670</v>
      </c>
      <c r="BP44">
        <v>2005</v>
      </c>
      <c r="BQ44">
        <v>149.76982193059999</v>
      </c>
      <c r="BR44">
        <v>144.6548628429</v>
      </c>
      <c r="BS44">
        <v>10624</v>
      </c>
      <c r="BT44">
        <v>2336</v>
      </c>
      <c r="BU44">
        <v>87.366716867500003</v>
      </c>
      <c r="BV44">
        <v>6677</v>
      </c>
      <c r="BW44">
        <v>1196</v>
      </c>
      <c r="BX44">
        <v>143.5150516699</v>
      </c>
      <c r="BY44">
        <v>136.38963210700001</v>
      </c>
      <c r="CA44" t="s">
        <v>386</v>
      </c>
      <c r="CB44" t="s">
        <v>863</v>
      </c>
      <c r="CC44" t="s">
        <v>1000</v>
      </c>
      <c r="CD44">
        <v>2555</v>
      </c>
      <c r="CE44">
        <v>366</v>
      </c>
      <c r="CF44">
        <v>82.062622309199995</v>
      </c>
      <c r="CG44">
        <v>1747</v>
      </c>
      <c r="CH44">
        <v>317</v>
      </c>
      <c r="CI44">
        <v>119.1820263309</v>
      </c>
      <c r="CJ44">
        <v>126.6340694006</v>
      </c>
      <c r="CL44" t="s">
        <v>386</v>
      </c>
      <c r="CM44" t="s">
        <v>832</v>
      </c>
      <c r="CN44" t="s">
        <v>846</v>
      </c>
      <c r="CO44">
        <v>239</v>
      </c>
      <c r="CP44">
        <v>25</v>
      </c>
      <c r="CQ44">
        <v>75.535564853599993</v>
      </c>
      <c r="CR44">
        <v>210</v>
      </c>
      <c r="CS44">
        <v>39</v>
      </c>
      <c r="CT44">
        <v>82.1047619048</v>
      </c>
      <c r="CU44">
        <v>82.461538461499998</v>
      </c>
      <c r="CW44" t="s">
        <v>386</v>
      </c>
      <c r="CX44" t="s">
        <v>848</v>
      </c>
      <c r="CY44" t="s">
        <v>862</v>
      </c>
      <c r="CZ44">
        <v>24</v>
      </c>
      <c r="DA44">
        <v>4</v>
      </c>
      <c r="DB44">
        <v>79.666666666699996</v>
      </c>
      <c r="DC44">
        <v>7</v>
      </c>
      <c r="DD44">
        <v>1</v>
      </c>
      <c r="DE44">
        <v>148.57142857139999</v>
      </c>
      <c r="DF44">
        <v>137</v>
      </c>
      <c r="DH44" t="s">
        <v>386</v>
      </c>
      <c r="DI44" t="s">
        <v>816</v>
      </c>
      <c r="DJ44" t="s">
        <v>830</v>
      </c>
      <c r="DK44">
        <v>32</v>
      </c>
      <c r="DL44">
        <v>9</v>
      </c>
      <c r="DM44">
        <v>94.40625</v>
      </c>
      <c r="DN44">
        <v>10</v>
      </c>
      <c r="DO44">
        <v>3</v>
      </c>
      <c r="DP44">
        <v>132.5</v>
      </c>
      <c r="DQ44">
        <v>138</v>
      </c>
    </row>
    <row r="45" spans="2:121" x14ac:dyDescent="0.2">
      <c r="B45" t="s">
        <v>106</v>
      </c>
      <c r="C45">
        <v>213</v>
      </c>
      <c r="D45">
        <v>204</v>
      </c>
      <c r="F45" t="s">
        <v>66</v>
      </c>
      <c r="G45">
        <v>6156</v>
      </c>
      <c r="H45">
        <v>381.47628330079999</v>
      </c>
      <c r="I45">
        <v>11561</v>
      </c>
      <c r="J45">
        <v>2868</v>
      </c>
      <c r="K45">
        <v>9332</v>
      </c>
      <c r="L45">
        <v>6592</v>
      </c>
      <c r="M45">
        <v>2124</v>
      </c>
      <c r="N45">
        <v>569</v>
      </c>
      <c r="O45">
        <v>6987</v>
      </c>
      <c r="P45">
        <v>6255</v>
      </c>
      <c r="Q45">
        <v>12598</v>
      </c>
      <c r="R45">
        <v>0</v>
      </c>
      <c r="AH45" t="s">
        <v>390</v>
      </c>
      <c r="AI45">
        <v>10581</v>
      </c>
      <c r="AJ45">
        <v>351.6599565258</v>
      </c>
      <c r="AK45">
        <v>9545</v>
      </c>
      <c r="AL45">
        <v>2559</v>
      </c>
      <c r="AM45">
        <v>15015</v>
      </c>
      <c r="AN45">
        <v>10599</v>
      </c>
      <c r="AO45">
        <v>2703</v>
      </c>
      <c r="AP45">
        <v>1663</v>
      </c>
      <c r="AQ45">
        <v>2983</v>
      </c>
      <c r="AR45">
        <v>1660</v>
      </c>
      <c r="AS45">
        <v>583</v>
      </c>
      <c r="AT45">
        <v>61</v>
      </c>
      <c r="AV45" t="s">
        <v>428</v>
      </c>
      <c r="AW45">
        <v>7</v>
      </c>
      <c r="AX45">
        <v>52.428571428600002</v>
      </c>
      <c r="AY45">
        <v>16</v>
      </c>
      <c r="BA45">
        <v>16</v>
      </c>
      <c r="BB45">
        <v>1</v>
      </c>
      <c r="BC45">
        <v>0</v>
      </c>
      <c r="BE45">
        <v>0</v>
      </c>
      <c r="BG45">
        <v>55</v>
      </c>
      <c r="BH45">
        <v>3</v>
      </c>
      <c r="BJ45" t="s">
        <v>8</v>
      </c>
      <c r="BK45" t="s">
        <v>8</v>
      </c>
      <c r="BL45">
        <v>217</v>
      </c>
      <c r="BM45">
        <v>182</v>
      </c>
      <c r="BN45">
        <v>214.9539170507</v>
      </c>
      <c r="BO45">
        <v>301</v>
      </c>
      <c r="BP45">
        <v>35</v>
      </c>
      <c r="BQ45">
        <v>200.6046511628</v>
      </c>
      <c r="BR45">
        <v>201.77142857140001</v>
      </c>
      <c r="BS45">
        <v>480</v>
      </c>
      <c r="BT45">
        <v>245</v>
      </c>
      <c r="BU45">
        <v>137.06041666670001</v>
      </c>
      <c r="BV45">
        <v>425</v>
      </c>
      <c r="BW45">
        <v>235</v>
      </c>
      <c r="BX45">
        <v>146.5341176471</v>
      </c>
      <c r="BY45">
        <v>154.49787234039999</v>
      </c>
      <c r="CA45" t="s">
        <v>376</v>
      </c>
      <c r="CB45" t="s">
        <v>863</v>
      </c>
      <c r="CD45">
        <v>68133</v>
      </c>
      <c r="CE45">
        <v>15436</v>
      </c>
      <c r="CF45">
        <v>95.081135426299994</v>
      </c>
      <c r="CG45">
        <v>44384</v>
      </c>
      <c r="CH45">
        <v>7779</v>
      </c>
      <c r="CI45">
        <v>137.90800739010001</v>
      </c>
      <c r="CJ45">
        <v>137.05540557910001</v>
      </c>
      <c r="CL45" t="s">
        <v>376</v>
      </c>
      <c r="CM45" t="s">
        <v>832</v>
      </c>
      <c r="CO45">
        <v>6967</v>
      </c>
      <c r="CP45">
        <v>658</v>
      </c>
      <c r="CQ45">
        <v>67.037892923800001</v>
      </c>
      <c r="CR45">
        <v>5577</v>
      </c>
      <c r="CS45">
        <v>1004</v>
      </c>
      <c r="CT45">
        <v>82.226824457600003</v>
      </c>
      <c r="CU45">
        <v>85.928286852599996</v>
      </c>
      <c r="CW45" t="s">
        <v>376</v>
      </c>
      <c r="CX45" t="s">
        <v>848</v>
      </c>
      <c r="CZ45">
        <v>2554</v>
      </c>
      <c r="DA45">
        <v>555</v>
      </c>
      <c r="DB45">
        <v>83.490211432999999</v>
      </c>
      <c r="DC45">
        <v>832</v>
      </c>
      <c r="DD45">
        <v>165</v>
      </c>
      <c r="DE45">
        <v>144.67067307689999</v>
      </c>
      <c r="DF45">
        <v>153.51515151519999</v>
      </c>
      <c r="DH45" t="s">
        <v>376</v>
      </c>
      <c r="DI45" t="s">
        <v>816</v>
      </c>
      <c r="DK45">
        <v>3665</v>
      </c>
      <c r="DL45">
        <v>847</v>
      </c>
      <c r="DM45">
        <v>84.529331514299997</v>
      </c>
      <c r="DN45">
        <v>1058</v>
      </c>
      <c r="DO45">
        <v>198</v>
      </c>
      <c r="DP45">
        <v>141.20415879020001</v>
      </c>
      <c r="DQ45">
        <v>144.1111111111</v>
      </c>
    </row>
    <row r="46" spans="2:121" x14ac:dyDescent="0.2">
      <c r="B46" t="s">
        <v>114</v>
      </c>
      <c r="C46">
        <v>544</v>
      </c>
      <c r="D46">
        <v>452</v>
      </c>
      <c r="F46" t="s">
        <v>81</v>
      </c>
      <c r="G46">
        <v>1439</v>
      </c>
      <c r="H46">
        <v>250.3877692842</v>
      </c>
      <c r="I46">
        <v>1070</v>
      </c>
      <c r="J46">
        <v>153</v>
      </c>
      <c r="K46">
        <v>2180</v>
      </c>
      <c r="L46">
        <v>1303</v>
      </c>
      <c r="M46">
        <v>1478</v>
      </c>
      <c r="N46">
        <v>863</v>
      </c>
      <c r="O46">
        <v>664</v>
      </c>
      <c r="P46">
        <v>626</v>
      </c>
      <c r="Q46">
        <v>1</v>
      </c>
      <c r="R46">
        <v>0</v>
      </c>
      <c r="AH46" t="s">
        <v>427</v>
      </c>
      <c r="AI46">
        <v>393</v>
      </c>
      <c r="AJ46">
        <v>246.3256997455</v>
      </c>
      <c r="AK46">
        <v>819</v>
      </c>
      <c r="AL46">
        <v>168</v>
      </c>
      <c r="AM46">
        <v>883</v>
      </c>
      <c r="AN46">
        <v>275</v>
      </c>
      <c r="AO46">
        <v>341</v>
      </c>
      <c r="AP46">
        <v>160</v>
      </c>
      <c r="AQ46">
        <v>113</v>
      </c>
      <c r="AR46">
        <v>57</v>
      </c>
      <c r="AS46">
        <v>1</v>
      </c>
      <c r="AT46">
        <v>1</v>
      </c>
      <c r="AV46" t="s">
        <v>396</v>
      </c>
      <c r="AW46">
        <v>144</v>
      </c>
      <c r="AX46">
        <v>61.173611111100001</v>
      </c>
      <c r="AY46">
        <v>322</v>
      </c>
      <c r="AZ46">
        <v>29</v>
      </c>
      <c r="BA46">
        <v>234</v>
      </c>
      <c r="BB46">
        <v>25</v>
      </c>
      <c r="BC46">
        <v>3</v>
      </c>
      <c r="BD46">
        <v>3</v>
      </c>
      <c r="BE46">
        <v>38</v>
      </c>
      <c r="BF46">
        <v>3</v>
      </c>
      <c r="BG46">
        <v>75</v>
      </c>
      <c r="BH46">
        <v>26</v>
      </c>
      <c r="BJ46" t="s">
        <v>693</v>
      </c>
      <c r="BK46" t="s">
        <v>8</v>
      </c>
      <c r="BL46">
        <v>217</v>
      </c>
      <c r="BM46">
        <v>182</v>
      </c>
      <c r="BN46">
        <v>214.9539170507</v>
      </c>
      <c r="BO46">
        <v>301</v>
      </c>
      <c r="BP46">
        <v>35</v>
      </c>
      <c r="BQ46">
        <v>200.6046511628</v>
      </c>
      <c r="BR46">
        <v>201.77142857140001</v>
      </c>
      <c r="BS46">
        <v>480</v>
      </c>
      <c r="BT46">
        <v>245</v>
      </c>
      <c r="BU46">
        <v>137.06041666670001</v>
      </c>
      <c r="BV46">
        <v>425</v>
      </c>
      <c r="BW46">
        <v>235</v>
      </c>
      <c r="BX46">
        <v>146.5341176471</v>
      </c>
      <c r="BY46">
        <v>154.49787234039999</v>
      </c>
      <c r="CA46" t="s">
        <v>8</v>
      </c>
      <c r="CB46" t="s">
        <v>693</v>
      </c>
      <c r="CC46" t="s">
        <v>693</v>
      </c>
      <c r="CD46">
        <v>3520</v>
      </c>
      <c r="CE46">
        <v>1330</v>
      </c>
      <c r="CF46">
        <v>129.95625000000001</v>
      </c>
      <c r="CG46">
        <v>1882</v>
      </c>
      <c r="CH46">
        <v>332</v>
      </c>
      <c r="CI46">
        <v>184.21253985120001</v>
      </c>
      <c r="CJ46">
        <v>181.2409638554</v>
      </c>
      <c r="CL46" t="s">
        <v>8</v>
      </c>
      <c r="CM46" t="s">
        <v>865</v>
      </c>
      <c r="CN46" t="s">
        <v>865</v>
      </c>
      <c r="CO46">
        <v>174</v>
      </c>
      <c r="CP46">
        <v>20</v>
      </c>
      <c r="CQ46">
        <v>75.235632183899995</v>
      </c>
      <c r="CR46">
        <v>199</v>
      </c>
      <c r="CS46">
        <v>45</v>
      </c>
      <c r="CT46">
        <v>85.517587939699993</v>
      </c>
      <c r="CU46">
        <v>67.088888888900001</v>
      </c>
      <c r="CW46" t="s">
        <v>8</v>
      </c>
      <c r="CX46" t="s">
        <v>866</v>
      </c>
      <c r="CY46" t="s">
        <v>866</v>
      </c>
      <c r="CZ46">
        <v>33</v>
      </c>
      <c r="DA46">
        <v>8</v>
      </c>
      <c r="DB46">
        <v>90.878787878799997</v>
      </c>
      <c r="DC46">
        <v>9</v>
      </c>
      <c r="DD46">
        <v>0</v>
      </c>
      <c r="DE46">
        <v>136.44444444440001</v>
      </c>
      <c r="DF46">
        <v>0</v>
      </c>
      <c r="DH46" t="s">
        <v>8</v>
      </c>
      <c r="DI46" t="s">
        <v>864</v>
      </c>
      <c r="DJ46" t="s">
        <v>864</v>
      </c>
      <c r="DK46">
        <v>79</v>
      </c>
      <c r="DL46">
        <v>16</v>
      </c>
      <c r="DM46">
        <v>69.012658227800003</v>
      </c>
      <c r="DN46">
        <v>26</v>
      </c>
      <c r="DO46">
        <v>4</v>
      </c>
      <c r="DP46">
        <v>109.30769230769999</v>
      </c>
      <c r="DQ46">
        <v>134.25</v>
      </c>
    </row>
    <row r="47" spans="2:121" x14ac:dyDescent="0.2">
      <c r="B47" t="s">
        <v>107</v>
      </c>
      <c r="C47">
        <v>19863</v>
      </c>
      <c r="D47">
        <v>14537</v>
      </c>
      <c r="F47" t="s">
        <v>84</v>
      </c>
      <c r="G47">
        <v>1592</v>
      </c>
      <c r="H47">
        <v>172.39572864319999</v>
      </c>
      <c r="I47">
        <v>2846</v>
      </c>
      <c r="J47">
        <v>530</v>
      </c>
      <c r="K47">
        <v>2386</v>
      </c>
      <c r="L47">
        <v>1109</v>
      </c>
      <c r="M47">
        <v>669</v>
      </c>
      <c r="N47">
        <v>231</v>
      </c>
      <c r="O47">
        <v>199</v>
      </c>
      <c r="P47">
        <v>89</v>
      </c>
      <c r="Q47">
        <v>0</v>
      </c>
      <c r="R47">
        <v>9</v>
      </c>
      <c r="AH47" t="s">
        <v>391</v>
      </c>
      <c r="AI47">
        <v>6676</v>
      </c>
      <c r="AJ47">
        <v>291.35724985019999</v>
      </c>
      <c r="AK47">
        <v>9633</v>
      </c>
      <c r="AL47">
        <v>1985</v>
      </c>
      <c r="AM47">
        <v>11380</v>
      </c>
      <c r="AN47">
        <v>5758</v>
      </c>
      <c r="AO47">
        <v>3201</v>
      </c>
      <c r="AP47">
        <v>2248</v>
      </c>
      <c r="AQ47">
        <v>2138</v>
      </c>
      <c r="AR47">
        <v>1211</v>
      </c>
      <c r="AS47">
        <v>616</v>
      </c>
      <c r="AT47">
        <v>245</v>
      </c>
      <c r="AV47" t="s">
        <v>430</v>
      </c>
      <c r="AW47">
        <v>56</v>
      </c>
      <c r="AX47">
        <v>120.5892857143</v>
      </c>
      <c r="AY47">
        <v>107</v>
      </c>
      <c r="AZ47">
        <v>15</v>
      </c>
      <c r="BA47">
        <v>82</v>
      </c>
      <c r="BB47">
        <v>30</v>
      </c>
      <c r="BC47">
        <v>5</v>
      </c>
      <c r="BD47">
        <v>4</v>
      </c>
      <c r="BE47">
        <v>11</v>
      </c>
      <c r="BF47">
        <v>4</v>
      </c>
      <c r="BG47">
        <v>14</v>
      </c>
      <c r="BH47">
        <v>32</v>
      </c>
      <c r="BJ47" t="s">
        <v>593</v>
      </c>
      <c r="BK47" t="s">
        <v>411</v>
      </c>
      <c r="BL47">
        <v>3136</v>
      </c>
      <c r="BM47">
        <v>603</v>
      </c>
      <c r="BN47">
        <v>92.136160714300004</v>
      </c>
      <c r="BO47">
        <v>1789</v>
      </c>
      <c r="BP47">
        <v>277</v>
      </c>
      <c r="BQ47">
        <v>145.53046394629999</v>
      </c>
      <c r="BR47">
        <v>162.08303249100001</v>
      </c>
      <c r="BS47">
        <v>2438</v>
      </c>
      <c r="BT47">
        <v>447</v>
      </c>
      <c r="BU47">
        <v>90.923707957299996</v>
      </c>
      <c r="BV47">
        <v>1511</v>
      </c>
      <c r="BW47">
        <v>224</v>
      </c>
      <c r="BX47">
        <v>144.95301125079999</v>
      </c>
      <c r="BY47">
        <v>165.50892857139999</v>
      </c>
      <c r="CA47" t="s">
        <v>8</v>
      </c>
      <c r="CB47" t="s">
        <v>693</v>
      </c>
      <c r="CC47" t="s">
        <v>693</v>
      </c>
      <c r="CD47">
        <v>3520</v>
      </c>
      <c r="CE47">
        <v>1330</v>
      </c>
      <c r="CF47">
        <v>129.95625000000001</v>
      </c>
      <c r="CG47">
        <v>1882</v>
      </c>
      <c r="CH47">
        <v>332</v>
      </c>
      <c r="CI47">
        <v>184.21253985120001</v>
      </c>
      <c r="CJ47">
        <v>181.2409638554</v>
      </c>
      <c r="CL47" t="s">
        <v>8</v>
      </c>
      <c r="CM47" t="s">
        <v>865</v>
      </c>
      <c r="CN47" t="s">
        <v>865</v>
      </c>
      <c r="CO47">
        <v>174</v>
      </c>
      <c r="CP47">
        <v>20</v>
      </c>
      <c r="CQ47">
        <v>75.235632183899995</v>
      </c>
      <c r="CR47">
        <v>199</v>
      </c>
      <c r="CS47">
        <v>45</v>
      </c>
      <c r="CT47">
        <v>85.517587939699993</v>
      </c>
      <c r="CU47">
        <v>67.088888888900001</v>
      </c>
      <c r="CW47" t="s">
        <v>8</v>
      </c>
      <c r="CX47" t="s">
        <v>866</v>
      </c>
      <c r="CY47" t="s">
        <v>866</v>
      </c>
      <c r="CZ47">
        <v>33</v>
      </c>
      <c r="DA47">
        <v>8</v>
      </c>
      <c r="DB47">
        <v>90.878787878799997</v>
      </c>
      <c r="DC47">
        <v>9</v>
      </c>
      <c r="DD47">
        <v>0</v>
      </c>
      <c r="DE47">
        <v>136.44444444440001</v>
      </c>
      <c r="DF47">
        <v>0</v>
      </c>
      <c r="DH47" t="s">
        <v>8</v>
      </c>
      <c r="DI47" t="s">
        <v>864</v>
      </c>
      <c r="DJ47" t="s">
        <v>864</v>
      </c>
      <c r="DK47">
        <v>79</v>
      </c>
      <c r="DL47">
        <v>16</v>
      </c>
      <c r="DM47">
        <v>69.012658227800003</v>
      </c>
      <c r="DN47">
        <v>26</v>
      </c>
      <c r="DO47">
        <v>4</v>
      </c>
      <c r="DP47">
        <v>109.30769230769999</v>
      </c>
      <c r="DQ47">
        <v>134.25</v>
      </c>
    </row>
    <row r="48" spans="2:121" x14ac:dyDescent="0.2">
      <c r="B48" t="s">
        <v>21</v>
      </c>
      <c r="C48">
        <v>41537</v>
      </c>
      <c r="D48">
        <v>12616</v>
      </c>
      <c r="F48" t="s">
        <v>51</v>
      </c>
      <c r="G48">
        <v>8434</v>
      </c>
      <c r="H48">
        <v>521.52098648330002</v>
      </c>
      <c r="I48">
        <v>4831</v>
      </c>
      <c r="J48">
        <v>872</v>
      </c>
      <c r="K48">
        <v>13271</v>
      </c>
      <c r="L48">
        <v>8431</v>
      </c>
      <c r="M48">
        <v>1485</v>
      </c>
      <c r="N48">
        <v>1036</v>
      </c>
      <c r="O48">
        <v>1598</v>
      </c>
      <c r="P48">
        <v>1337</v>
      </c>
      <c r="Q48">
        <v>1</v>
      </c>
      <c r="R48">
        <v>196</v>
      </c>
      <c r="AH48" t="s">
        <v>417</v>
      </c>
      <c r="AI48">
        <v>31132</v>
      </c>
      <c r="AJ48">
        <v>351.70438776819998</v>
      </c>
      <c r="AK48">
        <v>35854</v>
      </c>
      <c r="AL48">
        <v>7831</v>
      </c>
      <c r="AM48">
        <v>42805</v>
      </c>
      <c r="AN48">
        <v>26929</v>
      </c>
      <c r="AO48">
        <v>7750</v>
      </c>
      <c r="AP48">
        <v>3975</v>
      </c>
      <c r="AQ48">
        <v>10879</v>
      </c>
      <c r="AR48">
        <v>5838</v>
      </c>
      <c r="AS48">
        <v>27</v>
      </c>
      <c r="AT48">
        <v>404</v>
      </c>
      <c r="AV48" t="s">
        <v>426</v>
      </c>
      <c r="AW48">
        <v>8</v>
      </c>
      <c r="AX48">
        <v>54.375</v>
      </c>
      <c r="AY48">
        <v>51</v>
      </c>
      <c r="AZ48">
        <v>3</v>
      </c>
      <c r="BA48">
        <v>16</v>
      </c>
      <c r="BB48">
        <v>1</v>
      </c>
      <c r="BC48">
        <v>0</v>
      </c>
      <c r="BE48">
        <v>0</v>
      </c>
      <c r="BG48">
        <v>56</v>
      </c>
      <c r="BH48">
        <v>3</v>
      </c>
      <c r="BJ48" t="s">
        <v>652</v>
      </c>
      <c r="BK48" t="s">
        <v>411</v>
      </c>
      <c r="BL48">
        <v>1322</v>
      </c>
      <c r="BM48">
        <v>353</v>
      </c>
      <c r="BN48">
        <v>92.414523449300006</v>
      </c>
      <c r="BO48">
        <v>347</v>
      </c>
      <c r="BP48">
        <v>52</v>
      </c>
      <c r="BQ48">
        <v>136.74063400579999</v>
      </c>
      <c r="BR48">
        <v>156.69230769230001</v>
      </c>
      <c r="BS48">
        <v>1366</v>
      </c>
      <c r="BT48">
        <v>398</v>
      </c>
      <c r="BU48">
        <v>95.096632503699993</v>
      </c>
      <c r="BV48">
        <v>408</v>
      </c>
      <c r="BW48">
        <v>57</v>
      </c>
      <c r="BX48">
        <v>143.2794117647</v>
      </c>
      <c r="BY48">
        <v>158.2105263158</v>
      </c>
      <c r="CA48" t="s">
        <v>8</v>
      </c>
      <c r="CB48" t="s">
        <v>693</v>
      </c>
      <c r="CC48" t="s">
        <v>693</v>
      </c>
      <c r="CD48">
        <v>3520</v>
      </c>
      <c r="CE48">
        <v>1330</v>
      </c>
      <c r="CF48">
        <v>129.95625000000001</v>
      </c>
      <c r="CG48">
        <v>1882</v>
      </c>
      <c r="CH48">
        <v>332</v>
      </c>
      <c r="CI48">
        <v>184.21253985120001</v>
      </c>
      <c r="CJ48">
        <v>181.2409638554</v>
      </c>
      <c r="CL48" t="s">
        <v>8</v>
      </c>
      <c r="CM48" t="s">
        <v>865</v>
      </c>
      <c r="CN48" t="s">
        <v>865</v>
      </c>
      <c r="CO48">
        <v>174</v>
      </c>
      <c r="CP48">
        <v>20</v>
      </c>
      <c r="CQ48">
        <v>75.235632183899995</v>
      </c>
      <c r="CR48">
        <v>199</v>
      </c>
      <c r="CS48">
        <v>45</v>
      </c>
      <c r="CT48">
        <v>85.517587939699993</v>
      </c>
      <c r="CU48">
        <v>67.088888888900001</v>
      </c>
      <c r="CW48" t="s">
        <v>8</v>
      </c>
      <c r="CX48" t="s">
        <v>866</v>
      </c>
      <c r="CY48" t="s">
        <v>866</v>
      </c>
      <c r="CZ48">
        <v>33</v>
      </c>
      <c r="DA48">
        <v>8</v>
      </c>
      <c r="DB48">
        <v>90.878787878799997</v>
      </c>
      <c r="DC48">
        <v>9</v>
      </c>
      <c r="DD48">
        <v>0</v>
      </c>
      <c r="DE48">
        <v>136.44444444440001</v>
      </c>
      <c r="DF48">
        <v>0</v>
      </c>
      <c r="DH48" t="s">
        <v>8</v>
      </c>
      <c r="DI48" t="s">
        <v>864</v>
      </c>
      <c r="DJ48" t="s">
        <v>864</v>
      </c>
      <c r="DK48">
        <v>79</v>
      </c>
      <c r="DL48">
        <v>16</v>
      </c>
      <c r="DM48">
        <v>69.012658227800003</v>
      </c>
      <c r="DN48">
        <v>26</v>
      </c>
      <c r="DO48">
        <v>4</v>
      </c>
      <c r="DP48">
        <v>109.30769230769999</v>
      </c>
      <c r="DQ48">
        <v>134.25</v>
      </c>
    </row>
    <row r="49" spans="2:121" x14ac:dyDescent="0.2">
      <c r="B49" t="s">
        <v>123</v>
      </c>
      <c r="C49">
        <v>4050</v>
      </c>
      <c r="D49">
        <v>915</v>
      </c>
      <c r="F49" t="s">
        <v>437</v>
      </c>
      <c r="G49">
        <v>34282</v>
      </c>
      <c r="H49">
        <v>538.91747856020004</v>
      </c>
      <c r="I49">
        <v>1501</v>
      </c>
      <c r="J49">
        <v>543</v>
      </c>
      <c r="K49">
        <v>34809</v>
      </c>
      <c r="L49">
        <v>32776</v>
      </c>
      <c r="M49">
        <v>264</v>
      </c>
      <c r="N49">
        <v>134</v>
      </c>
      <c r="O49">
        <v>1244</v>
      </c>
      <c r="P49">
        <v>1126</v>
      </c>
      <c r="Q49">
        <v>0</v>
      </c>
      <c r="R49">
        <v>0</v>
      </c>
      <c r="AH49" t="s">
        <v>413</v>
      </c>
      <c r="AI49">
        <v>1986</v>
      </c>
      <c r="AJ49">
        <v>306.01258811679998</v>
      </c>
      <c r="AK49">
        <v>2188</v>
      </c>
      <c r="AL49">
        <v>501</v>
      </c>
      <c r="AM49">
        <v>2833</v>
      </c>
      <c r="AN49">
        <v>1704</v>
      </c>
      <c r="AO49">
        <v>653</v>
      </c>
      <c r="AP49">
        <v>341</v>
      </c>
      <c r="AQ49">
        <v>271</v>
      </c>
      <c r="AR49">
        <v>113</v>
      </c>
      <c r="AS49">
        <v>0</v>
      </c>
      <c r="AT49">
        <v>2</v>
      </c>
      <c r="AV49" t="s">
        <v>385</v>
      </c>
      <c r="AW49">
        <v>766</v>
      </c>
      <c r="AX49">
        <v>103.37859007829999</v>
      </c>
      <c r="AY49">
        <v>864</v>
      </c>
      <c r="AZ49">
        <v>195</v>
      </c>
      <c r="BA49">
        <v>1052</v>
      </c>
      <c r="BB49">
        <v>344</v>
      </c>
      <c r="BC49">
        <v>148</v>
      </c>
      <c r="BD49">
        <v>147</v>
      </c>
      <c r="BE49">
        <v>67</v>
      </c>
      <c r="BF49">
        <v>27</v>
      </c>
      <c r="BG49">
        <v>168</v>
      </c>
      <c r="BH49">
        <v>319</v>
      </c>
      <c r="BJ49" t="s">
        <v>608</v>
      </c>
      <c r="BK49" t="s">
        <v>411</v>
      </c>
      <c r="BL49">
        <v>1274</v>
      </c>
      <c r="BM49">
        <v>244</v>
      </c>
      <c r="BN49">
        <v>85.051020408200003</v>
      </c>
      <c r="BO49">
        <v>1138</v>
      </c>
      <c r="BP49">
        <v>203</v>
      </c>
      <c r="BQ49">
        <v>118.4384885764</v>
      </c>
      <c r="BR49">
        <v>110.7586206897</v>
      </c>
      <c r="BS49">
        <v>1394</v>
      </c>
      <c r="BT49">
        <v>331</v>
      </c>
      <c r="BU49">
        <v>96.357962697299996</v>
      </c>
      <c r="BV49">
        <v>1266</v>
      </c>
      <c r="BW49">
        <v>229</v>
      </c>
      <c r="BX49">
        <v>128.84044233809999</v>
      </c>
      <c r="BY49">
        <v>120.384279476</v>
      </c>
      <c r="CA49" t="s">
        <v>8</v>
      </c>
      <c r="CB49" t="s">
        <v>693</v>
      </c>
      <c r="CD49">
        <v>3520</v>
      </c>
      <c r="CE49">
        <v>1330</v>
      </c>
      <c r="CF49">
        <v>129.95625000000001</v>
      </c>
      <c r="CG49">
        <v>1882</v>
      </c>
      <c r="CH49">
        <v>332</v>
      </c>
      <c r="CI49">
        <v>184.21253985120001</v>
      </c>
      <c r="CJ49">
        <v>181.2409638554</v>
      </c>
      <c r="CL49" t="s">
        <v>8</v>
      </c>
      <c r="CM49" t="s">
        <v>865</v>
      </c>
      <c r="CO49">
        <v>174</v>
      </c>
      <c r="CP49">
        <v>20</v>
      </c>
      <c r="CQ49">
        <v>75.235632183899995</v>
      </c>
      <c r="CR49">
        <v>199</v>
      </c>
      <c r="CS49">
        <v>45</v>
      </c>
      <c r="CT49">
        <v>85.517587939699993</v>
      </c>
      <c r="CU49">
        <v>67.088888888900001</v>
      </c>
      <c r="CW49" t="s">
        <v>8</v>
      </c>
      <c r="CX49" t="s">
        <v>866</v>
      </c>
      <c r="CZ49">
        <v>33</v>
      </c>
      <c r="DA49">
        <v>8</v>
      </c>
      <c r="DB49">
        <v>90.878787878799997</v>
      </c>
      <c r="DC49">
        <v>9</v>
      </c>
      <c r="DD49">
        <v>0</v>
      </c>
      <c r="DE49">
        <v>136.44444444440001</v>
      </c>
      <c r="DF49">
        <v>0</v>
      </c>
      <c r="DH49" t="s">
        <v>8</v>
      </c>
      <c r="DI49" t="s">
        <v>864</v>
      </c>
      <c r="DK49">
        <v>79</v>
      </c>
      <c r="DL49">
        <v>16</v>
      </c>
      <c r="DM49">
        <v>69.012658227800003</v>
      </c>
      <c r="DN49">
        <v>26</v>
      </c>
      <c r="DO49">
        <v>4</v>
      </c>
      <c r="DP49">
        <v>109.30769230769999</v>
      </c>
      <c r="DQ49">
        <v>134.25</v>
      </c>
    </row>
    <row r="50" spans="2:121" x14ac:dyDescent="0.2">
      <c r="B50" t="s">
        <v>104</v>
      </c>
      <c r="C50">
        <v>215047</v>
      </c>
      <c r="D50">
        <v>152067</v>
      </c>
      <c r="F50" t="s">
        <v>79</v>
      </c>
      <c r="G50">
        <v>2305</v>
      </c>
      <c r="H50">
        <v>145.86290672449999</v>
      </c>
      <c r="I50">
        <v>9182</v>
      </c>
      <c r="J50">
        <v>1718</v>
      </c>
      <c r="K50">
        <v>11821</v>
      </c>
      <c r="L50">
        <v>2490</v>
      </c>
      <c r="M50">
        <v>1540</v>
      </c>
      <c r="N50">
        <v>344</v>
      </c>
      <c r="O50">
        <v>1051</v>
      </c>
      <c r="P50">
        <v>651</v>
      </c>
      <c r="Q50">
        <v>27</v>
      </c>
      <c r="R50">
        <v>0</v>
      </c>
      <c r="AH50" t="s">
        <v>424</v>
      </c>
      <c r="AI50">
        <v>465</v>
      </c>
      <c r="AJ50">
        <v>374.32043010749999</v>
      </c>
      <c r="AK50">
        <v>492</v>
      </c>
      <c r="AL50">
        <v>105</v>
      </c>
      <c r="AM50">
        <v>937</v>
      </c>
      <c r="AN50">
        <v>483</v>
      </c>
      <c r="AO50">
        <v>186</v>
      </c>
      <c r="AP50">
        <v>125</v>
      </c>
      <c r="AQ50">
        <v>107</v>
      </c>
      <c r="AR50">
        <v>67</v>
      </c>
      <c r="AS50">
        <v>79</v>
      </c>
      <c r="AT50">
        <v>1</v>
      </c>
      <c r="AV50" t="s">
        <v>413</v>
      </c>
      <c r="AW50">
        <v>52</v>
      </c>
      <c r="AX50">
        <v>37.673076923099998</v>
      </c>
      <c r="AY50">
        <v>178</v>
      </c>
      <c r="AZ50">
        <v>6</v>
      </c>
      <c r="BA50">
        <v>70</v>
      </c>
      <c r="BC50">
        <v>0</v>
      </c>
      <c r="BE50">
        <v>5</v>
      </c>
      <c r="BF50">
        <v>2</v>
      </c>
      <c r="BG50">
        <v>111</v>
      </c>
      <c r="BH50">
        <v>13</v>
      </c>
      <c r="BJ50" t="s">
        <v>648</v>
      </c>
      <c r="BK50" t="s">
        <v>411</v>
      </c>
      <c r="BL50">
        <v>1945</v>
      </c>
      <c r="BM50">
        <v>463</v>
      </c>
      <c r="BN50">
        <v>94.361953727499994</v>
      </c>
      <c r="BO50">
        <v>1614</v>
      </c>
      <c r="BP50">
        <v>322</v>
      </c>
      <c r="BQ50">
        <v>144.39467162330001</v>
      </c>
      <c r="BR50">
        <v>140.3167701863</v>
      </c>
      <c r="BS50">
        <v>2100</v>
      </c>
      <c r="BT50">
        <v>314</v>
      </c>
      <c r="BU50">
        <v>76.256190476200004</v>
      </c>
      <c r="BV50">
        <v>1202</v>
      </c>
      <c r="BW50">
        <v>259</v>
      </c>
      <c r="BX50">
        <v>137.17470881860001</v>
      </c>
      <c r="BY50">
        <v>125.29343629340001</v>
      </c>
      <c r="CA50" t="s">
        <v>431</v>
      </c>
      <c r="CB50" t="s">
        <v>897</v>
      </c>
      <c r="CC50" t="s">
        <v>1022</v>
      </c>
      <c r="CD50">
        <v>1292</v>
      </c>
      <c r="CE50">
        <v>322</v>
      </c>
      <c r="CF50">
        <v>89.167956656300007</v>
      </c>
      <c r="CG50">
        <v>552</v>
      </c>
      <c r="CH50">
        <v>79</v>
      </c>
      <c r="CI50">
        <v>95.3007246377</v>
      </c>
      <c r="CJ50">
        <v>119.69620253159999</v>
      </c>
      <c r="CL50" t="s">
        <v>431</v>
      </c>
      <c r="CM50" t="s">
        <v>878</v>
      </c>
      <c r="CN50" t="s">
        <v>877</v>
      </c>
      <c r="CO50">
        <v>29</v>
      </c>
      <c r="CP50">
        <v>4</v>
      </c>
      <c r="CQ50">
        <v>73.068965517199999</v>
      </c>
      <c r="CR50">
        <v>30</v>
      </c>
      <c r="CS50">
        <v>5</v>
      </c>
      <c r="CT50">
        <v>73.666666666699996</v>
      </c>
      <c r="CU50">
        <v>70.400000000000006</v>
      </c>
      <c r="CW50" t="s">
        <v>431</v>
      </c>
      <c r="CX50" t="s">
        <v>888</v>
      </c>
      <c r="CY50" t="s">
        <v>887</v>
      </c>
      <c r="CZ50">
        <v>25</v>
      </c>
      <c r="DA50">
        <v>4</v>
      </c>
      <c r="DB50">
        <v>66.2</v>
      </c>
      <c r="DC50">
        <v>6</v>
      </c>
      <c r="DD50">
        <v>0</v>
      </c>
      <c r="DE50">
        <v>109.3333333333</v>
      </c>
      <c r="DF50">
        <v>0</v>
      </c>
      <c r="DH50" t="s">
        <v>431</v>
      </c>
      <c r="DI50" t="s">
        <v>868</v>
      </c>
      <c r="DJ50" t="s">
        <v>867</v>
      </c>
      <c r="DK50">
        <v>38</v>
      </c>
      <c r="DL50">
        <v>4</v>
      </c>
      <c r="DM50">
        <v>76.026315789500003</v>
      </c>
      <c r="DN50">
        <v>23</v>
      </c>
      <c r="DO50">
        <v>5</v>
      </c>
      <c r="DP50">
        <v>127.4347826087</v>
      </c>
      <c r="DQ50">
        <v>142.19999999999999</v>
      </c>
    </row>
    <row r="51" spans="2:121" x14ac:dyDescent="0.2">
      <c r="B51" t="s">
        <v>131</v>
      </c>
      <c r="C51">
        <v>28176</v>
      </c>
      <c r="D51">
        <v>5108</v>
      </c>
      <c r="F51" t="s">
        <v>43</v>
      </c>
      <c r="G51">
        <v>6017</v>
      </c>
      <c r="H51">
        <v>392.21821505729997</v>
      </c>
      <c r="I51">
        <v>7794</v>
      </c>
      <c r="J51">
        <v>2212</v>
      </c>
      <c r="K51">
        <v>8030</v>
      </c>
      <c r="L51">
        <v>5768</v>
      </c>
      <c r="M51">
        <v>2342</v>
      </c>
      <c r="N51">
        <v>1707</v>
      </c>
      <c r="O51">
        <v>814</v>
      </c>
      <c r="P51">
        <v>372</v>
      </c>
      <c r="Q51">
        <v>0</v>
      </c>
      <c r="R51">
        <v>57</v>
      </c>
      <c r="AH51" t="s">
        <v>385</v>
      </c>
      <c r="AI51">
        <v>17569</v>
      </c>
      <c r="AJ51">
        <v>562.10888496780001</v>
      </c>
      <c r="AK51">
        <v>12998</v>
      </c>
      <c r="AL51">
        <v>2630</v>
      </c>
      <c r="AM51">
        <v>22191</v>
      </c>
      <c r="AN51">
        <v>15948</v>
      </c>
      <c r="AO51">
        <v>7384</v>
      </c>
      <c r="AP51">
        <v>5604</v>
      </c>
      <c r="AQ51">
        <v>6116</v>
      </c>
      <c r="AR51">
        <v>4271</v>
      </c>
      <c r="AS51">
        <v>923</v>
      </c>
      <c r="AT51">
        <v>21</v>
      </c>
      <c r="AV51" t="s">
        <v>380</v>
      </c>
      <c r="AW51">
        <v>195</v>
      </c>
      <c r="AX51">
        <v>106.3692307692</v>
      </c>
      <c r="AY51">
        <v>400</v>
      </c>
      <c r="AZ51">
        <v>95</v>
      </c>
      <c r="BA51">
        <v>275</v>
      </c>
      <c r="BB51">
        <v>98</v>
      </c>
      <c r="BC51">
        <v>4</v>
      </c>
      <c r="BD51">
        <v>4</v>
      </c>
      <c r="BE51">
        <v>24</v>
      </c>
      <c r="BF51">
        <v>5</v>
      </c>
      <c r="BG51">
        <v>31</v>
      </c>
      <c r="BH51">
        <v>76</v>
      </c>
      <c r="BJ51" t="s">
        <v>600</v>
      </c>
      <c r="BK51" t="s">
        <v>411</v>
      </c>
      <c r="BL51">
        <v>8749</v>
      </c>
      <c r="BM51">
        <v>1916</v>
      </c>
      <c r="BN51">
        <v>91.527717453400001</v>
      </c>
      <c r="BO51">
        <v>6243</v>
      </c>
      <c r="BP51">
        <v>1061</v>
      </c>
      <c r="BQ51">
        <v>141.8220406856</v>
      </c>
      <c r="BR51">
        <v>137.8114985862</v>
      </c>
      <c r="BS51">
        <v>7474</v>
      </c>
      <c r="BT51">
        <v>1093</v>
      </c>
      <c r="BU51">
        <v>74.955311747400003</v>
      </c>
      <c r="BV51">
        <v>4889</v>
      </c>
      <c r="BW51">
        <v>859</v>
      </c>
      <c r="BX51">
        <v>118.5334424218</v>
      </c>
      <c r="BY51">
        <v>119.075669383</v>
      </c>
      <c r="CA51" t="s">
        <v>433</v>
      </c>
      <c r="CB51" t="s">
        <v>897</v>
      </c>
      <c r="CC51" t="s">
        <v>1023</v>
      </c>
      <c r="CD51">
        <v>6141</v>
      </c>
      <c r="CE51">
        <v>1192</v>
      </c>
      <c r="CF51">
        <v>92.406122781299999</v>
      </c>
      <c r="CG51">
        <v>3991</v>
      </c>
      <c r="CH51">
        <v>878</v>
      </c>
      <c r="CI51">
        <v>134.5214232022</v>
      </c>
      <c r="CJ51">
        <v>134.8701594533</v>
      </c>
      <c r="CL51" t="s">
        <v>433</v>
      </c>
      <c r="CM51" t="s">
        <v>878</v>
      </c>
      <c r="CN51" t="s">
        <v>879</v>
      </c>
      <c r="CO51">
        <v>455</v>
      </c>
      <c r="CP51">
        <v>36</v>
      </c>
      <c r="CQ51">
        <v>60.312087912099997</v>
      </c>
      <c r="CR51">
        <v>706</v>
      </c>
      <c r="CS51">
        <v>111</v>
      </c>
      <c r="CT51">
        <v>66.856940509899999</v>
      </c>
      <c r="CU51">
        <v>74.378378378400001</v>
      </c>
      <c r="CW51" t="s">
        <v>433</v>
      </c>
      <c r="CX51" t="s">
        <v>888</v>
      </c>
      <c r="CY51" t="s">
        <v>889</v>
      </c>
      <c r="CZ51">
        <v>200</v>
      </c>
      <c r="DA51">
        <v>35</v>
      </c>
      <c r="DB51">
        <v>79.86</v>
      </c>
      <c r="DC51">
        <v>99</v>
      </c>
      <c r="DD51">
        <v>23</v>
      </c>
      <c r="DE51">
        <v>136.0707070707</v>
      </c>
      <c r="DF51">
        <v>139.21739130430001</v>
      </c>
      <c r="DH51" t="s">
        <v>433</v>
      </c>
      <c r="DI51" t="s">
        <v>868</v>
      </c>
      <c r="DJ51" t="s">
        <v>869</v>
      </c>
      <c r="DK51">
        <v>127</v>
      </c>
      <c r="DL51">
        <v>30</v>
      </c>
      <c r="DM51">
        <v>86.677165354300001</v>
      </c>
      <c r="DN51">
        <v>74</v>
      </c>
      <c r="DO51">
        <v>15</v>
      </c>
      <c r="DP51">
        <v>127.6081081081</v>
      </c>
      <c r="DQ51">
        <v>126.3333333333</v>
      </c>
    </row>
    <row r="52" spans="2:121" x14ac:dyDescent="0.2">
      <c r="B52" t="s">
        <v>109</v>
      </c>
      <c r="C52">
        <v>1295</v>
      </c>
      <c r="D52">
        <v>190</v>
      </c>
      <c r="F52" t="s">
        <v>75</v>
      </c>
      <c r="G52">
        <v>2771</v>
      </c>
      <c r="H52">
        <v>421.92349332369997</v>
      </c>
      <c r="I52">
        <v>3400</v>
      </c>
      <c r="J52">
        <v>849</v>
      </c>
      <c r="K52">
        <v>4034</v>
      </c>
      <c r="L52">
        <v>3262</v>
      </c>
      <c r="M52">
        <v>809</v>
      </c>
      <c r="N52">
        <v>608</v>
      </c>
      <c r="O52">
        <v>896</v>
      </c>
      <c r="P52">
        <v>696</v>
      </c>
      <c r="Q52">
        <v>0</v>
      </c>
      <c r="R52">
        <v>2</v>
      </c>
      <c r="AH52" t="s">
        <v>83</v>
      </c>
      <c r="AI52">
        <v>12676</v>
      </c>
      <c r="AJ52">
        <v>395.97901546230003</v>
      </c>
      <c r="AK52">
        <v>6561</v>
      </c>
      <c r="AL52">
        <v>1207</v>
      </c>
      <c r="AM52">
        <v>19001</v>
      </c>
      <c r="AN52">
        <v>13323</v>
      </c>
      <c r="AO52">
        <v>4016</v>
      </c>
      <c r="AP52">
        <v>2928</v>
      </c>
      <c r="AQ52">
        <v>4941</v>
      </c>
      <c r="AR52">
        <v>3770</v>
      </c>
      <c r="AS52">
        <v>12</v>
      </c>
      <c r="AT52">
        <v>140</v>
      </c>
      <c r="AV52" t="s">
        <v>399</v>
      </c>
      <c r="AW52">
        <v>195</v>
      </c>
      <c r="AX52">
        <v>69.241025640999993</v>
      </c>
      <c r="AY52">
        <v>627</v>
      </c>
      <c r="AZ52">
        <v>74</v>
      </c>
      <c r="BA52">
        <v>355</v>
      </c>
      <c r="BB52">
        <v>33</v>
      </c>
      <c r="BC52">
        <v>3</v>
      </c>
      <c r="BD52">
        <v>3</v>
      </c>
      <c r="BE52">
        <v>26</v>
      </c>
      <c r="BF52">
        <v>13</v>
      </c>
      <c r="BG52">
        <v>59</v>
      </c>
      <c r="BH52">
        <v>67</v>
      </c>
      <c r="BJ52" t="s">
        <v>622</v>
      </c>
      <c r="BK52" t="s">
        <v>411</v>
      </c>
      <c r="BL52">
        <v>749</v>
      </c>
      <c r="BM52">
        <v>185</v>
      </c>
      <c r="BN52">
        <v>102.8210947931</v>
      </c>
      <c r="BO52">
        <v>590</v>
      </c>
      <c r="BP52">
        <v>109</v>
      </c>
      <c r="BQ52">
        <v>137.26949152540001</v>
      </c>
      <c r="BR52">
        <v>123.30275229359999</v>
      </c>
      <c r="BS52">
        <v>1868</v>
      </c>
      <c r="BT52">
        <v>598</v>
      </c>
      <c r="BU52">
        <v>125.0711991435</v>
      </c>
      <c r="BV52">
        <v>1213</v>
      </c>
      <c r="BW52">
        <v>228</v>
      </c>
      <c r="BX52">
        <v>189.3874690849</v>
      </c>
      <c r="BY52">
        <v>159.2105263158</v>
      </c>
      <c r="CA52" t="s">
        <v>414</v>
      </c>
      <c r="CB52" t="s">
        <v>897</v>
      </c>
      <c r="CC52" t="s">
        <v>1024</v>
      </c>
      <c r="CD52">
        <v>28897</v>
      </c>
      <c r="CE52">
        <v>5757</v>
      </c>
      <c r="CF52">
        <v>89.269093677499995</v>
      </c>
      <c r="CG52">
        <v>18563</v>
      </c>
      <c r="CH52">
        <v>3164</v>
      </c>
      <c r="CI52">
        <v>141.0583957334</v>
      </c>
      <c r="CJ52">
        <v>137.92225031609999</v>
      </c>
      <c r="CL52" t="s">
        <v>414</v>
      </c>
      <c r="CM52" t="s">
        <v>878</v>
      </c>
      <c r="CN52" t="s">
        <v>880</v>
      </c>
      <c r="CO52">
        <v>1922</v>
      </c>
      <c r="CP52">
        <v>139</v>
      </c>
      <c r="CQ52">
        <v>63.245577523400001</v>
      </c>
      <c r="CR52">
        <v>2995</v>
      </c>
      <c r="CS52">
        <v>462</v>
      </c>
      <c r="CT52">
        <v>62.369282136899997</v>
      </c>
      <c r="CU52">
        <v>67.807359307400006</v>
      </c>
      <c r="CW52" t="s">
        <v>414</v>
      </c>
      <c r="CX52" t="s">
        <v>888</v>
      </c>
      <c r="CY52" t="s">
        <v>890</v>
      </c>
      <c r="CZ52">
        <v>1456</v>
      </c>
      <c r="DA52">
        <v>210</v>
      </c>
      <c r="DB52">
        <v>77.107142857100001</v>
      </c>
      <c r="DC52">
        <v>616</v>
      </c>
      <c r="DD52">
        <v>126</v>
      </c>
      <c r="DE52">
        <v>129.59740259739999</v>
      </c>
      <c r="DF52">
        <v>141.11904761900001</v>
      </c>
      <c r="DH52" t="s">
        <v>414</v>
      </c>
      <c r="DI52" t="s">
        <v>868</v>
      </c>
      <c r="DJ52" t="s">
        <v>870</v>
      </c>
      <c r="DK52">
        <v>817</v>
      </c>
      <c r="DL52">
        <v>120</v>
      </c>
      <c r="DM52">
        <v>77.264381884900004</v>
      </c>
      <c r="DN52">
        <v>373</v>
      </c>
      <c r="DO52">
        <v>75</v>
      </c>
      <c r="DP52">
        <v>119.8230563003</v>
      </c>
      <c r="DQ52">
        <v>124.9333333333</v>
      </c>
    </row>
    <row r="53" spans="2:121" x14ac:dyDescent="0.2">
      <c r="B53" t="s">
        <v>126</v>
      </c>
      <c r="C53">
        <v>518</v>
      </c>
      <c r="D53">
        <v>516</v>
      </c>
      <c r="F53" t="s">
        <v>56</v>
      </c>
      <c r="G53">
        <v>7740</v>
      </c>
      <c r="H53">
        <v>498.78514211890001</v>
      </c>
      <c r="I53">
        <v>4250</v>
      </c>
      <c r="J53">
        <v>1111</v>
      </c>
      <c r="K53">
        <v>12515</v>
      </c>
      <c r="L53">
        <v>8050</v>
      </c>
      <c r="M53">
        <v>2963</v>
      </c>
      <c r="N53">
        <v>2526</v>
      </c>
      <c r="O53">
        <v>794</v>
      </c>
      <c r="P53">
        <v>373</v>
      </c>
      <c r="Q53">
        <v>67</v>
      </c>
      <c r="R53">
        <v>239</v>
      </c>
      <c r="AH53" t="s">
        <v>386</v>
      </c>
      <c r="AI53">
        <v>2249</v>
      </c>
      <c r="AJ53">
        <v>272.4975544687</v>
      </c>
      <c r="AK53">
        <v>2523</v>
      </c>
      <c r="AL53">
        <v>401</v>
      </c>
      <c r="AM53">
        <v>3702</v>
      </c>
      <c r="AN53">
        <v>2193</v>
      </c>
      <c r="AO53">
        <v>395</v>
      </c>
      <c r="AP53">
        <v>164</v>
      </c>
      <c r="AQ53">
        <v>1226</v>
      </c>
      <c r="AR53">
        <v>864</v>
      </c>
      <c r="AS53">
        <v>364</v>
      </c>
      <c r="AT53">
        <v>15</v>
      </c>
      <c r="AV53" t="s">
        <v>431</v>
      </c>
      <c r="AW53">
        <v>10</v>
      </c>
      <c r="AX53">
        <v>55.9</v>
      </c>
      <c r="AY53">
        <v>17</v>
      </c>
      <c r="BA53">
        <v>19</v>
      </c>
      <c r="BB53">
        <v>1</v>
      </c>
      <c r="BC53">
        <v>0</v>
      </c>
      <c r="BE53">
        <v>2</v>
      </c>
      <c r="BG53">
        <v>31</v>
      </c>
      <c r="BH53">
        <v>0</v>
      </c>
      <c r="BJ53" t="s">
        <v>598</v>
      </c>
      <c r="BK53" t="s">
        <v>411</v>
      </c>
      <c r="BL53">
        <v>11083</v>
      </c>
      <c r="BM53">
        <v>2441</v>
      </c>
      <c r="BN53">
        <v>94.572949562399998</v>
      </c>
      <c r="BO53">
        <v>5782</v>
      </c>
      <c r="BP53">
        <v>878</v>
      </c>
      <c r="BQ53">
        <v>155.05517122099999</v>
      </c>
      <c r="BR53">
        <v>160.75740318909999</v>
      </c>
      <c r="BS53">
        <v>8410</v>
      </c>
      <c r="BT53">
        <v>1460</v>
      </c>
      <c r="BU53">
        <v>83.6466111772</v>
      </c>
      <c r="BV53">
        <v>3508</v>
      </c>
      <c r="BW53">
        <v>484</v>
      </c>
      <c r="BX53">
        <v>134.3720068415</v>
      </c>
      <c r="BY53">
        <v>143.54132231400001</v>
      </c>
      <c r="CA53" t="s">
        <v>435</v>
      </c>
      <c r="CB53" t="s">
        <v>897</v>
      </c>
      <c r="CC53" t="s">
        <v>1025</v>
      </c>
      <c r="CD53">
        <v>1908</v>
      </c>
      <c r="CE53">
        <v>330</v>
      </c>
      <c r="CF53">
        <v>82.223794549299996</v>
      </c>
      <c r="CG53">
        <v>1516</v>
      </c>
      <c r="CH53">
        <v>304</v>
      </c>
      <c r="CI53">
        <v>122.7407651715</v>
      </c>
      <c r="CJ53">
        <v>120.62828947369999</v>
      </c>
      <c r="CL53" t="s">
        <v>435</v>
      </c>
      <c r="CM53" t="s">
        <v>878</v>
      </c>
      <c r="CN53" t="s">
        <v>881</v>
      </c>
      <c r="CO53">
        <v>71</v>
      </c>
      <c r="CP53">
        <v>4</v>
      </c>
      <c r="CQ53">
        <v>60.183098591499999</v>
      </c>
      <c r="CR53">
        <v>88</v>
      </c>
      <c r="CS53">
        <v>8</v>
      </c>
      <c r="CT53">
        <v>66.920454545499993</v>
      </c>
      <c r="CU53">
        <v>79.875</v>
      </c>
      <c r="CW53" t="s">
        <v>435</v>
      </c>
      <c r="CX53" t="s">
        <v>888</v>
      </c>
      <c r="CY53" t="s">
        <v>891</v>
      </c>
      <c r="CZ53">
        <v>44</v>
      </c>
      <c r="DA53">
        <v>5</v>
      </c>
      <c r="DB53">
        <v>60.681818181799997</v>
      </c>
      <c r="DC53">
        <v>17</v>
      </c>
      <c r="DD53">
        <v>2</v>
      </c>
      <c r="DE53">
        <v>134.70588235290001</v>
      </c>
      <c r="DF53">
        <v>138.5</v>
      </c>
      <c r="DH53" t="s">
        <v>435</v>
      </c>
      <c r="DI53" t="s">
        <v>868</v>
      </c>
      <c r="DJ53" t="s">
        <v>871</v>
      </c>
      <c r="DK53">
        <v>106</v>
      </c>
      <c r="DL53">
        <v>10</v>
      </c>
      <c r="DM53">
        <v>61.056603773600003</v>
      </c>
      <c r="DN53">
        <v>31</v>
      </c>
      <c r="DO53">
        <v>8</v>
      </c>
      <c r="DP53">
        <v>110.6451612903</v>
      </c>
      <c r="DQ53">
        <v>114.125</v>
      </c>
    </row>
    <row r="54" spans="2:121" x14ac:dyDescent="0.2">
      <c r="F54" t="s">
        <v>45</v>
      </c>
      <c r="G54">
        <v>3541</v>
      </c>
      <c r="H54">
        <v>266.1889296809</v>
      </c>
      <c r="I54">
        <v>7087</v>
      </c>
      <c r="J54">
        <v>1713</v>
      </c>
      <c r="K54">
        <v>7469</v>
      </c>
      <c r="L54">
        <v>3718</v>
      </c>
      <c r="M54">
        <v>1487</v>
      </c>
      <c r="N54">
        <v>806</v>
      </c>
      <c r="O54">
        <v>624</v>
      </c>
      <c r="P54">
        <v>363</v>
      </c>
      <c r="Q54">
        <v>2</v>
      </c>
      <c r="R54">
        <v>200</v>
      </c>
      <c r="AH54" t="s">
        <v>403</v>
      </c>
      <c r="AI54">
        <v>4121</v>
      </c>
      <c r="AJ54">
        <v>283.96190245090003</v>
      </c>
      <c r="AK54">
        <v>4003</v>
      </c>
      <c r="AL54">
        <v>759</v>
      </c>
      <c r="AM54">
        <v>6305</v>
      </c>
      <c r="AN54">
        <v>3326</v>
      </c>
      <c r="AO54">
        <v>614</v>
      </c>
      <c r="AP54">
        <v>371</v>
      </c>
      <c r="AQ54">
        <v>790</v>
      </c>
      <c r="AR54">
        <v>377</v>
      </c>
      <c r="AS54">
        <v>411</v>
      </c>
      <c r="AT54">
        <v>6</v>
      </c>
      <c r="AV54" t="s">
        <v>386</v>
      </c>
      <c r="AW54">
        <v>238</v>
      </c>
      <c r="AX54">
        <v>107.8067226891</v>
      </c>
      <c r="AY54">
        <v>283</v>
      </c>
      <c r="AZ54">
        <v>45</v>
      </c>
      <c r="BA54">
        <v>305</v>
      </c>
      <c r="BB54">
        <v>120</v>
      </c>
      <c r="BC54">
        <v>7</v>
      </c>
      <c r="BD54">
        <v>7</v>
      </c>
      <c r="BE54">
        <v>21</v>
      </c>
      <c r="BF54">
        <v>7</v>
      </c>
      <c r="BG54">
        <v>44</v>
      </c>
      <c r="BH54">
        <v>71</v>
      </c>
      <c r="BJ54" t="s">
        <v>411</v>
      </c>
      <c r="BK54" t="s">
        <v>411</v>
      </c>
      <c r="BL54">
        <v>58524</v>
      </c>
      <c r="BM54">
        <v>11865</v>
      </c>
      <c r="BN54">
        <v>90.074482263700006</v>
      </c>
      <c r="BO54">
        <v>44078</v>
      </c>
      <c r="BP54">
        <v>7641</v>
      </c>
      <c r="BQ54">
        <v>123.63260583509999</v>
      </c>
      <c r="BR54">
        <v>122.77293547959999</v>
      </c>
      <c r="BS54">
        <v>57187</v>
      </c>
      <c r="BT54">
        <v>11025</v>
      </c>
      <c r="BU54">
        <v>87.029219927599996</v>
      </c>
      <c r="BV54">
        <v>42268</v>
      </c>
      <c r="BW54">
        <v>7395</v>
      </c>
      <c r="BX54">
        <v>119.5330510079</v>
      </c>
      <c r="BY54">
        <v>118.8500338066</v>
      </c>
      <c r="CA54" t="s">
        <v>415</v>
      </c>
      <c r="CB54" t="s">
        <v>897</v>
      </c>
      <c r="CC54" t="s">
        <v>1026</v>
      </c>
      <c r="CD54">
        <v>1342</v>
      </c>
      <c r="CE54">
        <v>259</v>
      </c>
      <c r="CF54">
        <v>86.027570789899997</v>
      </c>
      <c r="CG54">
        <v>1221</v>
      </c>
      <c r="CH54">
        <v>221</v>
      </c>
      <c r="CI54">
        <v>115.71990171989999</v>
      </c>
      <c r="CJ54">
        <v>108.1809954751</v>
      </c>
      <c r="CL54" t="s">
        <v>415</v>
      </c>
      <c r="CM54" t="s">
        <v>878</v>
      </c>
      <c r="CN54" t="s">
        <v>882</v>
      </c>
      <c r="CO54">
        <v>128</v>
      </c>
      <c r="CP54">
        <v>7</v>
      </c>
      <c r="CQ54">
        <v>54.53125</v>
      </c>
      <c r="CR54">
        <v>145</v>
      </c>
      <c r="CS54">
        <v>31</v>
      </c>
      <c r="CT54">
        <v>56.2137931034</v>
      </c>
      <c r="CU54">
        <v>67.032258064499999</v>
      </c>
      <c r="CW54" t="s">
        <v>415</v>
      </c>
      <c r="CX54" t="s">
        <v>888</v>
      </c>
      <c r="CY54" t="s">
        <v>892</v>
      </c>
      <c r="CZ54">
        <v>45</v>
      </c>
      <c r="DA54">
        <v>5</v>
      </c>
      <c r="DB54">
        <v>82.4</v>
      </c>
      <c r="DC54">
        <v>13</v>
      </c>
      <c r="DD54">
        <v>1</v>
      </c>
      <c r="DE54">
        <v>125.69230769230001</v>
      </c>
      <c r="DF54">
        <v>132</v>
      </c>
      <c r="DH54" t="s">
        <v>415</v>
      </c>
      <c r="DI54" t="s">
        <v>868</v>
      </c>
      <c r="DJ54" t="s">
        <v>872</v>
      </c>
      <c r="DK54">
        <v>48</v>
      </c>
      <c r="DL54">
        <v>6</v>
      </c>
      <c r="DM54">
        <v>73.8125</v>
      </c>
      <c r="DN54">
        <v>27</v>
      </c>
      <c r="DO54">
        <v>5</v>
      </c>
      <c r="DP54">
        <v>121</v>
      </c>
      <c r="DQ54">
        <v>129.6</v>
      </c>
    </row>
    <row r="55" spans="2:121" x14ac:dyDescent="0.2">
      <c r="F55" t="s">
        <v>53</v>
      </c>
      <c r="G55">
        <v>2485</v>
      </c>
      <c r="H55">
        <v>149.8929577465</v>
      </c>
      <c r="I55">
        <v>2108</v>
      </c>
      <c r="J55">
        <v>232</v>
      </c>
      <c r="K55">
        <v>4073</v>
      </c>
      <c r="L55">
        <v>1420</v>
      </c>
      <c r="M55">
        <v>1020</v>
      </c>
      <c r="N55">
        <v>525</v>
      </c>
      <c r="O55">
        <v>399</v>
      </c>
      <c r="P55">
        <v>193</v>
      </c>
      <c r="Q55">
        <v>1</v>
      </c>
      <c r="R55">
        <v>14</v>
      </c>
      <c r="AH55" t="s">
        <v>428</v>
      </c>
      <c r="AI55">
        <v>530</v>
      </c>
      <c r="AJ55">
        <v>301.71886792449999</v>
      </c>
      <c r="AK55">
        <v>900</v>
      </c>
      <c r="AL55">
        <v>165</v>
      </c>
      <c r="AM55">
        <v>931</v>
      </c>
      <c r="AN55">
        <v>465</v>
      </c>
      <c r="AO55">
        <v>145</v>
      </c>
      <c r="AP55">
        <v>79</v>
      </c>
      <c r="AQ55">
        <v>192</v>
      </c>
      <c r="AR55">
        <v>72</v>
      </c>
      <c r="AS55">
        <v>2</v>
      </c>
      <c r="AT55">
        <v>5</v>
      </c>
      <c r="AV55" t="s">
        <v>408</v>
      </c>
      <c r="AW55">
        <v>106</v>
      </c>
      <c r="AX55">
        <v>39.886792452800002</v>
      </c>
      <c r="AY55">
        <v>334</v>
      </c>
      <c r="AZ55">
        <v>12</v>
      </c>
      <c r="BA55">
        <v>158</v>
      </c>
      <c r="BB55">
        <v>5</v>
      </c>
      <c r="BC55">
        <v>1</v>
      </c>
      <c r="BD55">
        <v>1</v>
      </c>
      <c r="BE55">
        <v>8</v>
      </c>
      <c r="BF55">
        <v>3</v>
      </c>
      <c r="BG55">
        <v>506</v>
      </c>
      <c r="BH55">
        <v>22</v>
      </c>
      <c r="BJ55" t="s">
        <v>602</v>
      </c>
      <c r="BK55" t="s">
        <v>411</v>
      </c>
      <c r="BL55">
        <v>4446</v>
      </c>
      <c r="BM55">
        <v>978</v>
      </c>
      <c r="BN55">
        <v>99.315339631100002</v>
      </c>
      <c r="BO55">
        <v>3211</v>
      </c>
      <c r="BP55">
        <v>714</v>
      </c>
      <c r="BQ55">
        <v>137.3425724073</v>
      </c>
      <c r="BR55">
        <v>139.21428571429999</v>
      </c>
      <c r="BS55">
        <v>6417</v>
      </c>
      <c r="BT55">
        <v>1706</v>
      </c>
      <c r="BU55">
        <v>102.840268038</v>
      </c>
      <c r="BV55">
        <v>4756</v>
      </c>
      <c r="BW55">
        <v>990</v>
      </c>
      <c r="BX55">
        <v>147.58725820020001</v>
      </c>
      <c r="BY55">
        <v>145.9919191919</v>
      </c>
      <c r="CA55" t="s">
        <v>420</v>
      </c>
      <c r="CB55" t="s">
        <v>897</v>
      </c>
      <c r="CC55" t="s">
        <v>1027</v>
      </c>
      <c r="CD55">
        <v>3523</v>
      </c>
      <c r="CE55">
        <v>779</v>
      </c>
      <c r="CF55">
        <v>94.155265398799997</v>
      </c>
      <c r="CG55">
        <v>2451</v>
      </c>
      <c r="CH55">
        <v>351</v>
      </c>
      <c r="CI55">
        <v>153.52019583840001</v>
      </c>
      <c r="CJ55">
        <v>155.6495726496</v>
      </c>
      <c r="CL55" t="s">
        <v>420</v>
      </c>
      <c r="CM55" t="s">
        <v>878</v>
      </c>
      <c r="CN55" t="s">
        <v>883</v>
      </c>
      <c r="CO55">
        <v>224</v>
      </c>
      <c r="CP55">
        <v>16</v>
      </c>
      <c r="CQ55">
        <v>61.696428571399998</v>
      </c>
      <c r="CR55">
        <v>312</v>
      </c>
      <c r="CS55">
        <v>60</v>
      </c>
      <c r="CT55">
        <v>58.2692307692</v>
      </c>
      <c r="CU55">
        <v>57.816666666700002</v>
      </c>
      <c r="CW55" t="s">
        <v>420</v>
      </c>
      <c r="CX55" t="s">
        <v>888</v>
      </c>
      <c r="CY55" t="s">
        <v>893</v>
      </c>
      <c r="CZ55">
        <v>113</v>
      </c>
      <c r="DA55">
        <v>15</v>
      </c>
      <c r="DB55">
        <v>76.1592920354</v>
      </c>
      <c r="DC55">
        <v>42</v>
      </c>
      <c r="DD55">
        <v>6</v>
      </c>
      <c r="DE55">
        <v>144.19047619049999</v>
      </c>
      <c r="DF55">
        <v>147.1666666667</v>
      </c>
      <c r="DH55" t="s">
        <v>420</v>
      </c>
      <c r="DI55" t="s">
        <v>868</v>
      </c>
      <c r="DJ55" t="s">
        <v>873</v>
      </c>
      <c r="DK55">
        <v>110</v>
      </c>
      <c r="DL55">
        <v>11</v>
      </c>
      <c r="DM55">
        <v>66.227272727300004</v>
      </c>
      <c r="DN55">
        <v>50</v>
      </c>
      <c r="DO55">
        <v>8</v>
      </c>
      <c r="DP55">
        <v>133.04</v>
      </c>
      <c r="DQ55">
        <v>161.25</v>
      </c>
    </row>
    <row r="56" spans="2:121" x14ac:dyDescent="0.2">
      <c r="F56" t="s">
        <v>67</v>
      </c>
      <c r="G56">
        <v>4589</v>
      </c>
      <c r="H56">
        <v>261.85530616689999</v>
      </c>
      <c r="I56">
        <v>3982</v>
      </c>
      <c r="J56">
        <v>969</v>
      </c>
      <c r="K56">
        <v>5771</v>
      </c>
      <c r="L56">
        <v>3297</v>
      </c>
      <c r="M56">
        <v>965</v>
      </c>
      <c r="N56">
        <v>212</v>
      </c>
      <c r="O56">
        <v>2233</v>
      </c>
      <c r="P56">
        <v>1970</v>
      </c>
      <c r="Q56">
        <v>1</v>
      </c>
      <c r="R56">
        <v>67</v>
      </c>
      <c r="BJ56" t="s">
        <v>610</v>
      </c>
      <c r="BK56" t="s">
        <v>411</v>
      </c>
      <c r="BL56">
        <v>4765</v>
      </c>
      <c r="BM56">
        <v>1189</v>
      </c>
      <c r="BN56">
        <v>100.91017838410001</v>
      </c>
      <c r="BO56">
        <v>3061</v>
      </c>
      <c r="BP56">
        <v>457</v>
      </c>
      <c r="BQ56">
        <v>144.31819666780001</v>
      </c>
      <c r="BR56">
        <v>145.7986870897</v>
      </c>
      <c r="BS56">
        <v>4661</v>
      </c>
      <c r="BT56">
        <v>1102</v>
      </c>
      <c r="BU56">
        <v>97.272902810600002</v>
      </c>
      <c r="BV56">
        <v>3185</v>
      </c>
      <c r="BW56">
        <v>455</v>
      </c>
      <c r="BX56">
        <v>138.44270015699999</v>
      </c>
      <c r="BY56">
        <v>140.06813186810001</v>
      </c>
      <c r="CA56" t="s">
        <v>412</v>
      </c>
      <c r="CB56" t="s">
        <v>897</v>
      </c>
      <c r="CC56" t="s">
        <v>1028</v>
      </c>
      <c r="CD56">
        <v>2616</v>
      </c>
      <c r="CE56">
        <v>587</v>
      </c>
      <c r="CF56">
        <v>99.185779816500002</v>
      </c>
      <c r="CG56">
        <v>1802</v>
      </c>
      <c r="CH56">
        <v>283</v>
      </c>
      <c r="CI56">
        <v>147.667036626</v>
      </c>
      <c r="CJ56">
        <v>166.26501766780001</v>
      </c>
      <c r="CL56" t="s">
        <v>412</v>
      </c>
      <c r="CM56" t="s">
        <v>878</v>
      </c>
      <c r="CN56" t="s">
        <v>884</v>
      </c>
      <c r="CO56">
        <v>134</v>
      </c>
      <c r="CP56">
        <v>11</v>
      </c>
      <c r="CQ56">
        <v>58.104477611900002</v>
      </c>
      <c r="CR56">
        <v>241</v>
      </c>
      <c r="CS56">
        <v>37</v>
      </c>
      <c r="CT56">
        <v>61.663900414899999</v>
      </c>
      <c r="CU56">
        <v>59.9459459459</v>
      </c>
      <c r="CW56" t="s">
        <v>412</v>
      </c>
      <c r="CX56" t="s">
        <v>888</v>
      </c>
      <c r="CY56" t="s">
        <v>894</v>
      </c>
      <c r="CZ56">
        <v>65</v>
      </c>
      <c r="DA56">
        <v>13</v>
      </c>
      <c r="DB56">
        <v>83.569230769200004</v>
      </c>
      <c r="DC56">
        <v>28</v>
      </c>
      <c r="DD56">
        <v>2</v>
      </c>
      <c r="DE56">
        <v>164.17857142860001</v>
      </c>
      <c r="DF56">
        <v>144.5</v>
      </c>
      <c r="DH56" t="s">
        <v>412</v>
      </c>
      <c r="DI56" t="s">
        <v>868</v>
      </c>
      <c r="DJ56" t="s">
        <v>874</v>
      </c>
      <c r="DK56">
        <v>80</v>
      </c>
      <c r="DL56">
        <v>15</v>
      </c>
      <c r="DM56">
        <v>76.474999999999994</v>
      </c>
      <c r="DN56">
        <v>25</v>
      </c>
      <c r="DO56">
        <v>6</v>
      </c>
      <c r="DP56">
        <v>141.04</v>
      </c>
      <c r="DQ56">
        <v>126.5</v>
      </c>
    </row>
    <row r="57" spans="2:121" x14ac:dyDescent="0.2">
      <c r="F57" t="s">
        <v>65</v>
      </c>
      <c r="G57">
        <v>8753</v>
      </c>
      <c r="H57">
        <v>398.11344681819998</v>
      </c>
      <c r="I57">
        <v>11217</v>
      </c>
      <c r="J57">
        <v>2418</v>
      </c>
      <c r="K57">
        <v>11805</v>
      </c>
      <c r="L57">
        <v>9055</v>
      </c>
      <c r="M57">
        <v>4545</v>
      </c>
      <c r="N57">
        <v>3965</v>
      </c>
      <c r="O57">
        <v>2024</v>
      </c>
      <c r="P57">
        <v>1629</v>
      </c>
      <c r="Q57">
        <v>0</v>
      </c>
      <c r="R57">
        <v>30</v>
      </c>
      <c r="BJ57" t="s">
        <v>618</v>
      </c>
      <c r="BK57" t="s">
        <v>411</v>
      </c>
      <c r="BL57">
        <v>3353</v>
      </c>
      <c r="BM57">
        <v>722</v>
      </c>
      <c r="BN57">
        <v>94.612585744100002</v>
      </c>
      <c r="BO57">
        <v>2257</v>
      </c>
      <c r="BP57">
        <v>336</v>
      </c>
      <c r="BQ57">
        <v>157.48781568449999</v>
      </c>
      <c r="BR57">
        <v>155.90178571429999</v>
      </c>
      <c r="BS57">
        <v>2822</v>
      </c>
      <c r="BT57">
        <v>409</v>
      </c>
      <c r="BU57">
        <v>77.669737774599994</v>
      </c>
      <c r="BV57">
        <v>1674</v>
      </c>
      <c r="BW57">
        <v>255</v>
      </c>
      <c r="BX57">
        <v>133.1559139785</v>
      </c>
      <c r="BY57">
        <v>127.431372549</v>
      </c>
      <c r="CA57" t="s">
        <v>416</v>
      </c>
      <c r="CB57" t="s">
        <v>897</v>
      </c>
      <c r="CC57" t="s">
        <v>1029</v>
      </c>
      <c r="CD57">
        <v>4820</v>
      </c>
      <c r="CE57">
        <v>1190</v>
      </c>
      <c r="CF57">
        <v>100.47427385890001</v>
      </c>
      <c r="CG57">
        <v>3109</v>
      </c>
      <c r="CH57">
        <v>468</v>
      </c>
      <c r="CI57">
        <v>142.61756191699999</v>
      </c>
      <c r="CJ57">
        <v>146.38034188029999</v>
      </c>
      <c r="CL57" t="s">
        <v>416</v>
      </c>
      <c r="CM57" t="s">
        <v>878</v>
      </c>
      <c r="CN57" t="s">
        <v>885</v>
      </c>
      <c r="CO57">
        <v>328</v>
      </c>
      <c r="CP57">
        <v>23</v>
      </c>
      <c r="CQ57">
        <v>63.661585365900002</v>
      </c>
      <c r="CR57">
        <v>457</v>
      </c>
      <c r="CS57">
        <v>77</v>
      </c>
      <c r="CT57">
        <v>69.245076586400003</v>
      </c>
      <c r="CU57">
        <v>76.051948051899998</v>
      </c>
      <c r="CW57" t="s">
        <v>416</v>
      </c>
      <c r="CX57" t="s">
        <v>888</v>
      </c>
      <c r="CY57" t="s">
        <v>895</v>
      </c>
      <c r="CZ57">
        <v>107</v>
      </c>
      <c r="DA57">
        <v>22</v>
      </c>
      <c r="DB57">
        <v>91.420560747699994</v>
      </c>
      <c r="DC57">
        <v>46</v>
      </c>
      <c r="DD57">
        <v>8</v>
      </c>
      <c r="DE57">
        <v>121.5</v>
      </c>
      <c r="DF57">
        <v>125.375</v>
      </c>
      <c r="DH57" t="s">
        <v>416</v>
      </c>
      <c r="DI57" t="s">
        <v>868</v>
      </c>
      <c r="DJ57" t="s">
        <v>875</v>
      </c>
      <c r="DK57">
        <v>49</v>
      </c>
      <c r="DL57">
        <v>6</v>
      </c>
      <c r="DM57">
        <v>75.877551020400006</v>
      </c>
      <c r="DN57">
        <v>21</v>
      </c>
      <c r="DO57">
        <v>6</v>
      </c>
      <c r="DP57">
        <v>122</v>
      </c>
      <c r="DQ57">
        <v>141.8333333333</v>
      </c>
    </row>
    <row r="58" spans="2:121" x14ac:dyDescent="0.2">
      <c r="F58" t="s">
        <v>57</v>
      </c>
      <c r="G58">
        <v>1555</v>
      </c>
      <c r="H58">
        <v>397.67845659160002</v>
      </c>
      <c r="I58">
        <v>1104</v>
      </c>
      <c r="J58">
        <v>257</v>
      </c>
      <c r="K58">
        <v>2008</v>
      </c>
      <c r="L58">
        <v>1381</v>
      </c>
      <c r="M58">
        <v>488</v>
      </c>
      <c r="N58">
        <v>391</v>
      </c>
      <c r="O58">
        <v>68</v>
      </c>
      <c r="P58">
        <v>58</v>
      </c>
      <c r="Q58">
        <v>0</v>
      </c>
      <c r="R58">
        <v>0</v>
      </c>
      <c r="BJ58" t="s">
        <v>631</v>
      </c>
      <c r="BK58" t="s">
        <v>411</v>
      </c>
      <c r="BL58">
        <v>10357</v>
      </c>
      <c r="BM58">
        <v>1578</v>
      </c>
      <c r="BN58">
        <v>80.119918895400005</v>
      </c>
      <c r="BO58">
        <v>6306</v>
      </c>
      <c r="BP58">
        <v>1184</v>
      </c>
      <c r="BQ58">
        <v>135.36504915949999</v>
      </c>
      <c r="BR58">
        <v>132.81418918919999</v>
      </c>
      <c r="BS58">
        <v>10293</v>
      </c>
      <c r="BT58">
        <v>1824</v>
      </c>
      <c r="BU58">
        <v>85.398717575099994</v>
      </c>
      <c r="BV58">
        <v>6657</v>
      </c>
      <c r="BW58">
        <v>1207</v>
      </c>
      <c r="BX58">
        <v>146.0347003155</v>
      </c>
      <c r="BY58">
        <v>141.1657000829</v>
      </c>
      <c r="CA58" t="s">
        <v>83</v>
      </c>
      <c r="CB58" t="s">
        <v>897</v>
      </c>
      <c r="CC58" t="s">
        <v>1030</v>
      </c>
      <c r="CD58">
        <v>5860</v>
      </c>
      <c r="CE58">
        <v>1116</v>
      </c>
      <c r="CF58">
        <v>88.565699658699998</v>
      </c>
      <c r="CG58">
        <v>5432</v>
      </c>
      <c r="CH58">
        <v>969</v>
      </c>
      <c r="CI58">
        <v>115.7441089838</v>
      </c>
      <c r="CJ58">
        <v>112.5448916409</v>
      </c>
      <c r="CL58" t="s">
        <v>83</v>
      </c>
      <c r="CM58" t="s">
        <v>878</v>
      </c>
      <c r="CN58" t="s">
        <v>886</v>
      </c>
      <c r="CO58">
        <v>489</v>
      </c>
      <c r="CP58">
        <v>33</v>
      </c>
      <c r="CQ58">
        <v>63.910020449900003</v>
      </c>
      <c r="CR58">
        <v>728</v>
      </c>
      <c r="CS58">
        <v>140</v>
      </c>
      <c r="CT58">
        <v>65.572802197800002</v>
      </c>
      <c r="CU58">
        <v>68.5</v>
      </c>
      <c r="CW58" t="s">
        <v>83</v>
      </c>
      <c r="CX58" t="s">
        <v>888</v>
      </c>
      <c r="CY58" t="s">
        <v>896</v>
      </c>
      <c r="CZ58">
        <v>345</v>
      </c>
      <c r="DA58">
        <v>35</v>
      </c>
      <c r="DB58">
        <v>70.469565217400003</v>
      </c>
      <c r="DC58">
        <v>114</v>
      </c>
      <c r="DD58">
        <v>25</v>
      </c>
      <c r="DE58">
        <v>125.5438596491</v>
      </c>
      <c r="DF58">
        <v>131.36000000000001</v>
      </c>
      <c r="DH58" t="s">
        <v>83</v>
      </c>
      <c r="DI58" t="s">
        <v>868</v>
      </c>
      <c r="DJ58" t="s">
        <v>876</v>
      </c>
      <c r="DK58">
        <v>553</v>
      </c>
      <c r="DL58">
        <v>63</v>
      </c>
      <c r="DM58">
        <v>71.437613019899999</v>
      </c>
      <c r="DN58">
        <v>226</v>
      </c>
      <c r="DO58">
        <v>41</v>
      </c>
      <c r="DP58">
        <v>118.8230088496</v>
      </c>
      <c r="DQ58">
        <v>133.68292682929999</v>
      </c>
    </row>
    <row r="59" spans="2:121" x14ac:dyDescent="0.2">
      <c r="F59" t="s">
        <v>49</v>
      </c>
      <c r="G59">
        <v>12866</v>
      </c>
      <c r="H59">
        <v>344.57135084719999</v>
      </c>
      <c r="I59">
        <v>15639</v>
      </c>
      <c r="J59">
        <v>4026</v>
      </c>
      <c r="K59">
        <v>16560</v>
      </c>
      <c r="L59">
        <v>11647</v>
      </c>
      <c r="M59">
        <v>2547</v>
      </c>
      <c r="N59">
        <v>1446</v>
      </c>
      <c r="O59">
        <v>2882</v>
      </c>
      <c r="P59">
        <v>2264</v>
      </c>
      <c r="Q59">
        <v>1</v>
      </c>
      <c r="R59">
        <v>226</v>
      </c>
      <c r="BJ59" t="s">
        <v>604</v>
      </c>
      <c r="BK59" t="s">
        <v>411</v>
      </c>
      <c r="BL59">
        <v>7345</v>
      </c>
      <c r="BM59">
        <v>1193</v>
      </c>
      <c r="BN59">
        <v>78.032266848199995</v>
      </c>
      <c r="BO59">
        <v>11740</v>
      </c>
      <c r="BP59">
        <v>2048</v>
      </c>
      <c r="BQ59">
        <v>69.769931856900001</v>
      </c>
      <c r="BR59">
        <v>68.8134765625</v>
      </c>
      <c r="BS59">
        <v>7944</v>
      </c>
      <c r="BT59">
        <v>1343</v>
      </c>
      <c r="BU59">
        <v>78.308157099699997</v>
      </c>
      <c r="BV59">
        <v>11999</v>
      </c>
      <c r="BW59">
        <v>2148</v>
      </c>
      <c r="BX59">
        <v>69.039919993300003</v>
      </c>
      <c r="BY59">
        <v>71.499068901300006</v>
      </c>
      <c r="CA59" t="s">
        <v>411</v>
      </c>
      <c r="CB59" t="s">
        <v>897</v>
      </c>
      <c r="CD59">
        <v>56399</v>
      </c>
      <c r="CE59">
        <v>11532</v>
      </c>
      <c r="CF59">
        <v>90.942605365299997</v>
      </c>
      <c r="CG59">
        <v>38637</v>
      </c>
      <c r="CH59">
        <v>6717</v>
      </c>
      <c r="CI59">
        <v>135.87522323159999</v>
      </c>
      <c r="CJ59">
        <v>134.59654607709999</v>
      </c>
      <c r="CL59" t="s">
        <v>411</v>
      </c>
      <c r="CM59" t="s">
        <v>878</v>
      </c>
      <c r="CO59">
        <v>3780</v>
      </c>
      <c r="CP59">
        <v>273</v>
      </c>
      <c r="CQ59">
        <v>62.463227513200003</v>
      </c>
      <c r="CR59">
        <v>5702</v>
      </c>
      <c r="CS59">
        <v>931</v>
      </c>
      <c r="CT59">
        <v>63.603998597</v>
      </c>
      <c r="CU59">
        <v>68.512352309299999</v>
      </c>
      <c r="CW59" t="s">
        <v>411</v>
      </c>
      <c r="CX59" t="s">
        <v>888</v>
      </c>
      <c r="CZ59">
        <v>2400</v>
      </c>
      <c r="DA59">
        <v>344</v>
      </c>
      <c r="DB59">
        <v>76.835416666699999</v>
      </c>
      <c r="DC59">
        <v>981</v>
      </c>
      <c r="DD59">
        <v>193</v>
      </c>
      <c r="DE59">
        <v>130.92456676859999</v>
      </c>
      <c r="DF59">
        <v>139.12435233159999</v>
      </c>
      <c r="DH59" t="s">
        <v>411</v>
      </c>
      <c r="DI59" t="s">
        <v>868</v>
      </c>
      <c r="DK59">
        <v>1928</v>
      </c>
      <c r="DL59">
        <v>265</v>
      </c>
      <c r="DM59">
        <v>74.514004149399995</v>
      </c>
      <c r="DN59">
        <v>850</v>
      </c>
      <c r="DO59">
        <v>169</v>
      </c>
      <c r="DP59">
        <v>121.59882352939999</v>
      </c>
      <c r="DQ59">
        <v>129.69230769230001</v>
      </c>
    </row>
    <row r="60" spans="2:121" x14ac:dyDescent="0.2">
      <c r="F60" t="s">
        <v>141</v>
      </c>
      <c r="G60">
        <v>424</v>
      </c>
      <c r="H60">
        <v>369.74764150940001</v>
      </c>
      <c r="I60">
        <v>496</v>
      </c>
      <c r="J60">
        <v>111</v>
      </c>
      <c r="K60">
        <v>607</v>
      </c>
      <c r="L60">
        <v>423</v>
      </c>
      <c r="M60">
        <v>94</v>
      </c>
      <c r="N60">
        <v>44</v>
      </c>
      <c r="O60">
        <v>74</v>
      </c>
      <c r="P60">
        <v>56</v>
      </c>
      <c r="Q60">
        <v>0</v>
      </c>
      <c r="R60">
        <v>1</v>
      </c>
      <c r="BJ60" t="s">
        <v>546</v>
      </c>
      <c r="BK60" t="s">
        <v>387</v>
      </c>
      <c r="BL60">
        <v>17147</v>
      </c>
      <c r="BM60">
        <v>4202</v>
      </c>
      <c r="BN60">
        <v>96.189887443900005</v>
      </c>
      <c r="BO60">
        <v>9156</v>
      </c>
      <c r="BP60">
        <v>1697</v>
      </c>
      <c r="BQ60">
        <v>152.09676714720001</v>
      </c>
      <c r="BR60">
        <v>155.4166175604</v>
      </c>
      <c r="BS60">
        <v>15014</v>
      </c>
      <c r="BT60">
        <v>2716</v>
      </c>
      <c r="BU60">
        <v>83.86612495</v>
      </c>
      <c r="BV60">
        <v>6758</v>
      </c>
      <c r="BW60">
        <v>1201</v>
      </c>
      <c r="BX60">
        <v>148.31947321690001</v>
      </c>
      <c r="BY60">
        <v>149.81681931719999</v>
      </c>
      <c r="CA60" t="s">
        <v>395</v>
      </c>
      <c r="CB60" t="s">
        <v>922</v>
      </c>
      <c r="CC60" t="s">
        <v>1031</v>
      </c>
      <c r="CD60">
        <v>7376</v>
      </c>
      <c r="CE60">
        <v>1241</v>
      </c>
      <c r="CF60">
        <v>85.397912147499994</v>
      </c>
      <c r="CG60">
        <v>5119</v>
      </c>
      <c r="CH60">
        <v>638</v>
      </c>
      <c r="CI60">
        <v>138.83336589180001</v>
      </c>
      <c r="CJ60">
        <v>155.72100313479999</v>
      </c>
      <c r="CL60" t="s">
        <v>395</v>
      </c>
      <c r="CM60" t="s">
        <v>907</v>
      </c>
      <c r="CN60" t="s">
        <v>906</v>
      </c>
      <c r="CO60">
        <v>769</v>
      </c>
      <c r="CP60">
        <v>65</v>
      </c>
      <c r="CQ60">
        <v>65.260078023399998</v>
      </c>
      <c r="CR60">
        <v>857</v>
      </c>
      <c r="CS60">
        <v>176</v>
      </c>
      <c r="CT60">
        <v>62.696616102699998</v>
      </c>
      <c r="CU60">
        <v>70.147727272699996</v>
      </c>
      <c r="CW60" t="s">
        <v>395</v>
      </c>
      <c r="CX60" t="s">
        <v>915</v>
      </c>
      <c r="CY60" t="s">
        <v>914</v>
      </c>
      <c r="CZ60">
        <v>219</v>
      </c>
      <c r="DA60">
        <v>51</v>
      </c>
      <c r="DB60">
        <v>84.497716894999996</v>
      </c>
      <c r="DC60">
        <v>42</v>
      </c>
      <c r="DD60">
        <v>6</v>
      </c>
      <c r="DE60">
        <v>136.59523809519999</v>
      </c>
      <c r="DF60">
        <v>132.6666666667</v>
      </c>
      <c r="DH60" t="s">
        <v>395</v>
      </c>
      <c r="DI60" t="s">
        <v>899</v>
      </c>
      <c r="DJ60" t="s">
        <v>898</v>
      </c>
      <c r="DK60">
        <v>224</v>
      </c>
      <c r="DL60">
        <v>60</v>
      </c>
      <c r="DM60">
        <v>85.991071428599994</v>
      </c>
      <c r="DN60">
        <v>77</v>
      </c>
      <c r="DO60">
        <v>19</v>
      </c>
      <c r="DP60">
        <v>145.2337662338</v>
      </c>
      <c r="DQ60">
        <v>168.68421052630001</v>
      </c>
    </row>
    <row r="61" spans="2:121" x14ac:dyDescent="0.2">
      <c r="F61" t="s">
        <v>59</v>
      </c>
      <c r="G61">
        <v>4315</v>
      </c>
      <c r="H61">
        <v>192.53951332560001</v>
      </c>
      <c r="I61">
        <v>6458</v>
      </c>
      <c r="J61">
        <v>1099</v>
      </c>
      <c r="K61">
        <v>5618</v>
      </c>
      <c r="L61">
        <v>2735</v>
      </c>
      <c r="M61">
        <v>682</v>
      </c>
      <c r="N61">
        <v>328</v>
      </c>
      <c r="O61">
        <v>509</v>
      </c>
      <c r="P61">
        <v>236</v>
      </c>
      <c r="Q61">
        <v>5999</v>
      </c>
      <c r="R61">
        <v>0</v>
      </c>
      <c r="BJ61" t="s">
        <v>554</v>
      </c>
      <c r="BK61" t="s">
        <v>387</v>
      </c>
      <c r="BL61">
        <v>8667</v>
      </c>
      <c r="BM61">
        <v>2304</v>
      </c>
      <c r="BN61">
        <v>101.12334140989999</v>
      </c>
      <c r="BO61">
        <v>5289</v>
      </c>
      <c r="BP61">
        <v>964</v>
      </c>
      <c r="BQ61">
        <v>135.473435432</v>
      </c>
      <c r="BR61">
        <v>136.37136929459999</v>
      </c>
      <c r="BS61">
        <v>8709</v>
      </c>
      <c r="BT61">
        <v>2250</v>
      </c>
      <c r="BU61">
        <v>100.77437134</v>
      </c>
      <c r="BV61">
        <v>5312</v>
      </c>
      <c r="BW61">
        <v>990</v>
      </c>
      <c r="BX61">
        <v>135.40399096389999</v>
      </c>
      <c r="BY61">
        <v>137.9707070707</v>
      </c>
      <c r="CA61" t="s">
        <v>432</v>
      </c>
      <c r="CB61" t="s">
        <v>922</v>
      </c>
      <c r="CC61" t="s">
        <v>1032</v>
      </c>
      <c r="CD61">
        <v>22164</v>
      </c>
      <c r="CE61">
        <v>5651</v>
      </c>
      <c r="CF61">
        <v>100.3820609998</v>
      </c>
      <c r="CG61">
        <v>15098</v>
      </c>
      <c r="CH61">
        <v>2922</v>
      </c>
      <c r="CI61">
        <v>147.7783150086</v>
      </c>
      <c r="CJ61">
        <v>143.7405886379</v>
      </c>
      <c r="CL61" t="s">
        <v>432</v>
      </c>
      <c r="CM61" t="s">
        <v>907</v>
      </c>
      <c r="CN61" t="s">
        <v>908</v>
      </c>
      <c r="CO61">
        <v>2314</v>
      </c>
      <c r="CP61">
        <v>207</v>
      </c>
      <c r="CQ61">
        <v>64.593344857399998</v>
      </c>
      <c r="CR61">
        <v>1993</v>
      </c>
      <c r="CS61">
        <v>373</v>
      </c>
      <c r="CT61">
        <v>79.670346211699993</v>
      </c>
      <c r="CU61">
        <v>89.2520107239</v>
      </c>
      <c r="CW61" t="s">
        <v>432</v>
      </c>
      <c r="CX61" t="s">
        <v>915</v>
      </c>
      <c r="CY61" t="s">
        <v>916</v>
      </c>
      <c r="CZ61">
        <v>883</v>
      </c>
      <c r="DA61">
        <v>211</v>
      </c>
      <c r="DB61">
        <v>85.243488108700006</v>
      </c>
      <c r="DC61">
        <v>278</v>
      </c>
      <c r="DD61">
        <v>57</v>
      </c>
      <c r="DE61">
        <v>148.25899280580001</v>
      </c>
      <c r="DF61">
        <v>148.57894736840001</v>
      </c>
      <c r="DH61" t="s">
        <v>432</v>
      </c>
      <c r="DI61" t="s">
        <v>899</v>
      </c>
      <c r="DJ61" t="s">
        <v>900</v>
      </c>
      <c r="DK61">
        <v>1091</v>
      </c>
      <c r="DL61">
        <v>292</v>
      </c>
      <c r="DM61">
        <v>87.050412465600004</v>
      </c>
      <c r="DN61">
        <v>397</v>
      </c>
      <c r="DO61">
        <v>73</v>
      </c>
      <c r="DP61">
        <v>135.78337531490001</v>
      </c>
      <c r="DQ61">
        <v>131.1506849315</v>
      </c>
    </row>
    <row r="62" spans="2:121" x14ac:dyDescent="0.2">
      <c r="BJ62" t="s">
        <v>570</v>
      </c>
      <c r="BK62" t="s">
        <v>387</v>
      </c>
      <c r="BL62">
        <v>4395</v>
      </c>
      <c r="BM62">
        <v>979</v>
      </c>
      <c r="BN62">
        <v>104.0464163823</v>
      </c>
      <c r="BO62">
        <v>3467</v>
      </c>
      <c r="BP62">
        <v>660</v>
      </c>
      <c r="BQ62">
        <v>147.14306316700001</v>
      </c>
      <c r="BR62">
        <v>134.57272727270001</v>
      </c>
      <c r="BS62">
        <v>6542</v>
      </c>
      <c r="BT62">
        <v>2509</v>
      </c>
      <c r="BU62">
        <v>145.78844390090001</v>
      </c>
      <c r="BV62">
        <v>4236</v>
      </c>
      <c r="BW62">
        <v>789</v>
      </c>
      <c r="BX62">
        <v>164.80736543910001</v>
      </c>
      <c r="BY62">
        <v>153.2053231939</v>
      </c>
      <c r="CA62" t="s">
        <v>388</v>
      </c>
      <c r="CB62" t="s">
        <v>922</v>
      </c>
      <c r="CC62" t="s">
        <v>1033</v>
      </c>
      <c r="CD62">
        <v>17952</v>
      </c>
      <c r="CE62">
        <v>4242</v>
      </c>
      <c r="CF62">
        <v>93.937332887699995</v>
      </c>
      <c r="CG62">
        <v>10080</v>
      </c>
      <c r="CH62">
        <v>1859</v>
      </c>
      <c r="CI62">
        <v>142.63323412700001</v>
      </c>
      <c r="CJ62">
        <v>145.21570736960001</v>
      </c>
      <c r="CL62" t="s">
        <v>388</v>
      </c>
      <c r="CM62" t="s">
        <v>907</v>
      </c>
      <c r="CN62" t="s">
        <v>909</v>
      </c>
      <c r="CO62">
        <v>1157</v>
      </c>
      <c r="CP62">
        <v>106</v>
      </c>
      <c r="CQ62">
        <v>65.426966292100005</v>
      </c>
      <c r="CR62">
        <v>1026</v>
      </c>
      <c r="CS62">
        <v>189</v>
      </c>
      <c r="CT62">
        <v>87.168615984400006</v>
      </c>
      <c r="CU62">
        <v>102.21693121689999</v>
      </c>
      <c r="CW62" t="s">
        <v>388</v>
      </c>
      <c r="CX62" t="s">
        <v>915</v>
      </c>
      <c r="CY62" t="s">
        <v>917</v>
      </c>
      <c r="CZ62">
        <v>489</v>
      </c>
      <c r="DA62">
        <v>112</v>
      </c>
      <c r="DB62">
        <v>83.361963190200001</v>
      </c>
      <c r="DC62">
        <v>178</v>
      </c>
      <c r="DD62">
        <v>39</v>
      </c>
      <c r="DE62">
        <v>154.19101123600001</v>
      </c>
      <c r="DF62">
        <v>160.6666666667</v>
      </c>
      <c r="DH62" t="s">
        <v>388</v>
      </c>
      <c r="DI62" t="s">
        <v>899</v>
      </c>
      <c r="DJ62" t="s">
        <v>901</v>
      </c>
      <c r="DK62">
        <v>563</v>
      </c>
      <c r="DL62">
        <v>151</v>
      </c>
      <c r="DM62">
        <v>88.447602131400004</v>
      </c>
      <c r="DN62">
        <v>205</v>
      </c>
      <c r="DO62">
        <v>43</v>
      </c>
      <c r="DP62">
        <v>139.57073170730001</v>
      </c>
      <c r="DQ62">
        <v>142.83720930230001</v>
      </c>
    </row>
    <row r="63" spans="2:121" x14ac:dyDescent="0.2">
      <c r="BJ63" t="s">
        <v>560</v>
      </c>
      <c r="BK63" t="s">
        <v>387</v>
      </c>
      <c r="BL63">
        <v>7341</v>
      </c>
      <c r="BM63">
        <v>1198</v>
      </c>
      <c r="BN63">
        <v>83.120692003800002</v>
      </c>
      <c r="BO63">
        <v>4868</v>
      </c>
      <c r="BP63">
        <v>586</v>
      </c>
      <c r="BQ63">
        <v>141.89831552999999</v>
      </c>
      <c r="BR63">
        <v>172.1740614334</v>
      </c>
      <c r="BS63">
        <v>6870</v>
      </c>
      <c r="BT63">
        <v>1017</v>
      </c>
      <c r="BU63">
        <v>76.791120815100001</v>
      </c>
      <c r="BV63">
        <v>4390</v>
      </c>
      <c r="BW63">
        <v>493</v>
      </c>
      <c r="BX63">
        <v>142.13690205009999</v>
      </c>
      <c r="BY63">
        <v>188.86815415820001</v>
      </c>
      <c r="CA63" t="s">
        <v>400</v>
      </c>
      <c r="CB63" t="s">
        <v>922</v>
      </c>
      <c r="CC63" t="s">
        <v>1034</v>
      </c>
      <c r="CD63">
        <v>4067</v>
      </c>
      <c r="CE63">
        <v>745</v>
      </c>
      <c r="CF63">
        <v>91.449717236300003</v>
      </c>
      <c r="CG63">
        <v>3432</v>
      </c>
      <c r="CH63">
        <v>625</v>
      </c>
      <c r="CI63">
        <v>131.99737762239999</v>
      </c>
      <c r="CJ63">
        <v>125.9456</v>
      </c>
      <c r="CL63" t="s">
        <v>400</v>
      </c>
      <c r="CM63" t="s">
        <v>907</v>
      </c>
      <c r="CN63" t="s">
        <v>910</v>
      </c>
      <c r="CO63">
        <v>438</v>
      </c>
      <c r="CP63">
        <v>46</v>
      </c>
      <c r="CQ63">
        <v>71.301369863000005</v>
      </c>
      <c r="CR63">
        <v>463</v>
      </c>
      <c r="CS63">
        <v>78</v>
      </c>
      <c r="CT63">
        <v>70.092872570200001</v>
      </c>
      <c r="CU63">
        <v>74.615384615400004</v>
      </c>
      <c r="CW63" t="s">
        <v>400</v>
      </c>
      <c r="CX63" t="s">
        <v>915</v>
      </c>
      <c r="CY63" t="s">
        <v>918</v>
      </c>
      <c r="CZ63">
        <v>114</v>
      </c>
      <c r="DA63">
        <v>26</v>
      </c>
      <c r="DB63">
        <v>82.728070175400006</v>
      </c>
      <c r="DC63">
        <v>37</v>
      </c>
      <c r="DD63">
        <v>7</v>
      </c>
      <c r="DE63">
        <v>143.027027027</v>
      </c>
      <c r="DF63">
        <v>145</v>
      </c>
      <c r="DH63" t="s">
        <v>400</v>
      </c>
      <c r="DI63" t="s">
        <v>899</v>
      </c>
      <c r="DJ63" t="s">
        <v>902</v>
      </c>
      <c r="DK63">
        <v>197</v>
      </c>
      <c r="DL63">
        <v>43</v>
      </c>
      <c r="DM63">
        <v>78.365482233500003</v>
      </c>
      <c r="DN63">
        <v>47</v>
      </c>
      <c r="DO63">
        <v>10</v>
      </c>
      <c r="DP63">
        <v>134.04255319149999</v>
      </c>
      <c r="DQ63">
        <v>123</v>
      </c>
    </row>
    <row r="64" spans="2:121" x14ac:dyDescent="0.2">
      <c r="BJ64" t="s">
        <v>556</v>
      </c>
      <c r="BK64" t="s">
        <v>387</v>
      </c>
      <c r="BL64">
        <v>9467</v>
      </c>
      <c r="BM64">
        <v>1748</v>
      </c>
      <c r="BN64">
        <v>86.013098130299994</v>
      </c>
      <c r="BO64">
        <v>5811</v>
      </c>
      <c r="BP64">
        <v>1030</v>
      </c>
      <c r="BQ64">
        <v>135.00120461189999</v>
      </c>
      <c r="BR64">
        <v>134.93009708739999</v>
      </c>
      <c r="BS64">
        <v>9615</v>
      </c>
      <c r="BT64">
        <v>1842</v>
      </c>
      <c r="BU64">
        <v>89.163182527299995</v>
      </c>
      <c r="BV64">
        <v>6337</v>
      </c>
      <c r="BW64">
        <v>1083</v>
      </c>
      <c r="BX64">
        <v>143.46252169799999</v>
      </c>
      <c r="BY64">
        <v>140.16712834719999</v>
      </c>
      <c r="CA64" t="s">
        <v>434</v>
      </c>
      <c r="CB64" t="s">
        <v>922</v>
      </c>
      <c r="CC64" t="s">
        <v>1035</v>
      </c>
      <c r="CD64">
        <v>3438</v>
      </c>
      <c r="CE64">
        <v>882</v>
      </c>
      <c r="CF64">
        <v>100.2830133799</v>
      </c>
      <c r="CG64">
        <v>1533</v>
      </c>
      <c r="CH64">
        <v>288</v>
      </c>
      <c r="CI64">
        <v>159.6366601435</v>
      </c>
      <c r="CJ64">
        <v>182.0173611111</v>
      </c>
      <c r="CL64" t="s">
        <v>434</v>
      </c>
      <c r="CM64" t="s">
        <v>907</v>
      </c>
      <c r="CN64" t="s">
        <v>911</v>
      </c>
      <c r="CO64">
        <v>438</v>
      </c>
      <c r="CP64">
        <v>37</v>
      </c>
      <c r="CQ64">
        <v>63.730593607300001</v>
      </c>
      <c r="CR64">
        <v>376</v>
      </c>
      <c r="CS64">
        <v>59</v>
      </c>
      <c r="CT64">
        <v>86.678191489400007</v>
      </c>
      <c r="CU64">
        <v>84.237288135599997</v>
      </c>
      <c r="CW64" t="s">
        <v>434</v>
      </c>
      <c r="CX64" t="s">
        <v>915</v>
      </c>
      <c r="CY64" t="s">
        <v>919</v>
      </c>
      <c r="CZ64">
        <v>13</v>
      </c>
      <c r="DA64">
        <v>2</v>
      </c>
      <c r="DB64">
        <v>62.615384615399996</v>
      </c>
      <c r="DC64">
        <v>3</v>
      </c>
      <c r="DD64">
        <v>1</v>
      </c>
      <c r="DE64">
        <v>148</v>
      </c>
      <c r="DF64">
        <v>140</v>
      </c>
      <c r="DH64" t="s">
        <v>434</v>
      </c>
      <c r="DI64" t="s">
        <v>899</v>
      </c>
      <c r="DJ64" t="s">
        <v>903</v>
      </c>
      <c r="DK64">
        <v>16</v>
      </c>
      <c r="DL64">
        <v>3</v>
      </c>
      <c r="DM64">
        <v>82.375</v>
      </c>
      <c r="DN64">
        <v>6</v>
      </c>
      <c r="DO64">
        <v>0</v>
      </c>
      <c r="DP64">
        <v>113.5</v>
      </c>
      <c r="DQ64">
        <v>0</v>
      </c>
    </row>
    <row r="65" spans="62:121" x14ac:dyDescent="0.2">
      <c r="BJ65" t="s">
        <v>620</v>
      </c>
      <c r="BK65" t="s">
        <v>387</v>
      </c>
      <c r="BL65">
        <v>3484</v>
      </c>
      <c r="BM65">
        <v>917</v>
      </c>
      <c r="BN65">
        <v>101.10246842710001</v>
      </c>
      <c r="BO65">
        <v>1485</v>
      </c>
      <c r="BP65">
        <v>274</v>
      </c>
      <c r="BQ65">
        <v>162.3393939394</v>
      </c>
      <c r="BR65">
        <v>189.21167883210001</v>
      </c>
      <c r="BS65">
        <v>3535</v>
      </c>
      <c r="BT65">
        <v>993</v>
      </c>
      <c r="BU65">
        <v>108.3669024045</v>
      </c>
      <c r="BV65">
        <v>1620</v>
      </c>
      <c r="BW65">
        <v>288</v>
      </c>
      <c r="BX65">
        <v>181.5228395062</v>
      </c>
      <c r="BY65">
        <v>207.5590277778</v>
      </c>
      <c r="CA65" t="s">
        <v>390</v>
      </c>
      <c r="CB65" t="s">
        <v>922</v>
      </c>
      <c r="CC65" t="s">
        <v>1036</v>
      </c>
      <c r="CD65">
        <v>9054</v>
      </c>
      <c r="CE65">
        <v>2391</v>
      </c>
      <c r="CF65">
        <v>100.48409542740001</v>
      </c>
      <c r="CG65">
        <v>5724</v>
      </c>
      <c r="CH65">
        <v>1033</v>
      </c>
      <c r="CI65">
        <v>133.30765199160001</v>
      </c>
      <c r="CJ65">
        <v>133.229428848</v>
      </c>
      <c r="CL65" t="s">
        <v>390</v>
      </c>
      <c r="CM65" t="s">
        <v>907</v>
      </c>
      <c r="CN65" t="s">
        <v>912</v>
      </c>
      <c r="CO65">
        <v>660</v>
      </c>
      <c r="CP65">
        <v>61</v>
      </c>
      <c r="CQ65">
        <v>65.757575757599994</v>
      </c>
      <c r="CR65">
        <v>657</v>
      </c>
      <c r="CS65">
        <v>124</v>
      </c>
      <c r="CT65">
        <v>83.126331811300005</v>
      </c>
      <c r="CU65">
        <v>88.322580645200006</v>
      </c>
      <c r="CW65" t="s">
        <v>390</v>
      </c>
      <c r="CX65" t="s">
        <v>915</v>
      </c>
      <c r="CY65" t="s">
        <v>920</v>
      </c>
      <c r="CZ65">
        <v>290</v>
      </c>
      <c r="DA65">
        <v>78</v>
      </c>
      <c r="DB65">
        <v>93.137931034499999</v>
      </c>
      <c r="DC65">
        <v>90</v>
      </c>
      <c r="DD65">
        <v>20</v>
      </c>
      <c r="DE65">
        <v>147.51111111110001</v>
      </c>
      <c r="DF65">
        <v>138.55000000000001</v>
      </c>
      <c r="DH65" t="s">
        <v>390</v>
      </c>
      <c r="DI65" t="s">
        <v>899</v>
      </c>
      <c r="DJ65" t="s">
        <v>904</v>
      </c>
      <c r="DK65">
        <v>310</v>
      </c>
      <c r="DL65">
        <v>73</v>
      </c>
      <c r="DM65">
        <v>85.9</v>
      </c>
      <c r="DN65">
        <v>94</v>
      </c>
      <c r="DO65">
        <v>17</v>
      </c>
      <c r="DP65">
        <v>129.21276595739999</v>
      </c>
      <c r="DQ65">
        <v>127.29411764709999</v>
      </c>
    </row>
    <row r="66" spans="62:121" x14ac:dyDescent="0.2">
      <c r="BJ66" t="s">
        <v>387</v>
      </c>
      <c r="BK66" t="s">
        <v>387</v>
      </c>
      <c r="BL66">
        <v>71621</v>
      </c>
      <c r="BM66">
        <v>16786</v>
      </c>
      <c r="BN66">
        <v>96.066097932199995</v>
      </c>
      <c r="BO66">
        <v>43845</v>
      </c>
      <c r="BP66">
        <v>7928</v>
      </c>
      <c r="BQ66">
        <v>146.6247234576</v>
      </c>
      <c r="BR66">
        <v>148.55486881940001</v>
      </c>
      <c r="BS66">
        <v>69648</v>
      </c>
      <c r="BT66">
        <v>15113</v>
      </c>
      <c r="BU66">
        <v>94.361216402500006</v>
      </c>
      <c r="BV66">
        <v>40666</v>
      </c>
      <c r="BW66">
        <v>7211</v>
      </c>
      <c r="BX66">
        <v>145.48930310329999</v>
      </c>
      <c r="BY66">
        <v>146.1361808348</v>
      </c>
      <c r="CA66" t="s">
        <v>391</v>
      </c>
      <c r="CB66" t="s">
        <v>922</v>
      </c>
      <c r="CC66" t="s">
        <v>1037</v>
      </c>
      <c r="CD66">
        <v>9407</v>
      </c>
      <c r="CE66">
        <v>1792</v>
      </c>
      <c r="CF66">
        <v>87.014457319000002</v>
      </c>
      <c r="CG66">
        <v>5998</v>
      </c>
      <c r="CH66">
        <v>1078</v>
      </c>
      <c r="CI66">
        <v>131.22624208069999</v>
      </c>
      <c r="CJ66">
        <v>131.84322820040001</v>
      </c>
      <c r="CL66" t="s">
        <v>391</v>
      </c>
      <c r="CM66" t="s">
        <v>907</v>
      </c>
      <c r="CN66" t="s">
        <v>913</v>
      </c>
      <c r="CO66">
        <v>741</v>
      </c>
      <c r="CP66">
        <v>72</v>
      </c>
      <c r="CQ66">
        <v>67.161943319800002</v>
      </c>
      <c r="CR66">
        <v>805</v>
      </c>
      <c r="CS66">
        <v>147</v>
      </c>
      <c r="CT66">
        <v>62.088198757800001</v>
      </c>
      <c r="CU66">
        <v>73.673469387799997</v>
      </c>
      <c r="CW66" t="s">
        <v>391</v>
      </c>
      <c r="CX66" t="s">
        <v>915</v>
      </c>
      <c r="CY66" t="s">
        <v>921</v>
      </c>
      <c r="CZ66">
        <v>274</v>
      </c>
      <c r="DA66">
        <v>56</v>
      </c>
      <c r="DB66">
        <v>81.832116788299999</v>
      </c>
      <c r="DC66">
        <v>79</v>
      </c>
      <c r="DD66">
        <v>17</v>
      </c>
      <c r="DE66">
        <v>140.01265822779999</v>
      </c>
      <c r="DF66">
        <v>141</v>
      </c>
      <c r="DH66" t="s">
        <v>391</v>
      </c>
      <c r="DI66" t="s">
        <v>899</v>
      </c>
      <c r="DJ66" t="s">
        <v>905</v>
      </c>
      <c r="DK66">
        <v>472</v>
      </c>
      <c r="DL66">
        <v>106</v>
      </c>
      <c r="DM66">
        <v>82.834745762699995</v>
      </c>
      <c r="DN66">
        <v>167</v>
      </c>
      <c r="DO66">
        <v>38</v>
      </c>
      <c r="DP66">
        <v>141.41317365270001</v>
      </c>
      <c r="DQ66">
        <v>138.86842105260001</v>
      </c>
    </row>
    <row r="67" spans="62:121" x14ac:dyDescent="0.2">
      <c r="BJ67" t="s">
        <v>548</v>
      </c>
      <c r="BK67" t="s">
        <v>387</v>
      </c>
      <c r="BL67">
        <v>21120</v>
      </c>
      <c r="BM67">
        <v>5438</v>
      </c>
      <c r="BN67">
        <v>100.4046401515</v>
      </c>
      <c r="BO67">
        <v>13769</v>
      </c>
      <c r="BP67">
        <v>2717</v>
      </c>
      <c r="BQ67">
        <v>152.02062604400001</v>
      </c>
      <c r="BR67">
        <v>147.95914611699999</v>
      </c>
      <c r="BS67">
        <v>19363</v>
      </c>
      <c r="BT67">
        <v>3786</v>
      </c>
      <c r="BU67">
        <v>88.497443578000002</v>
      </c>
      <c r="BV67">
        <v>12013</v>
      </c>
      <c r="BW67">
        <v>2367</v>
      </c>
      <c r="BX67">
        <v>138.97985515689999</v>
      </c>
      <c r="BY67">
        <v>131.6848331221</v>
      </c>
      <c r="CA67" t="s">
        <v>387</v>
      </c>
      <c r="CB67" t="s">
        <v>922</v>
      </c>
      <c r="CD67">
        <v>73458</v>
      </c>
      <c r="CE67">
        <v>16944</v>
      </c>
      <c r="CF67">
        <v>95.104045849299993</v>
      </c>
      <c r="CG67">
        <v>46984</v>
      </c>
      <c r="CH67">
        <v>8443</v>
      </c>
      <c r="CI67">
        <v>141.05810488680001</v>
      </c>
      <c r="CJ67">
        <v>142.15397370599999</v>
      </c>
      <c r="CL67" t="s">
        <v>387</v>
      </c>
      <c r="CM67" t="s">
        <v>907</v>
      </c>
      <c r="CO67">
        <v>6517</v>
      </c>
      <c r="CP67">
        <v>594</v>
      </c>
      <c r="CQ67">
        <v>65.622832591700003</v>
      </c>
      <c r="CR67">
        <v>6177</v>
      </c>
      <c r="CS67">
        <v>1146</v>
      </c>
      <c r="CT67">
        <v>76.345798931499999</v>
      </c>
      <c r="CU67">
        <v>85.102966841200001</v>
      </c>
      <c r="CW67" t="s">
        <v>387</v>
      </c>
      <c r="CX67" t="s">
        <v>915</v>
      </c>
      <c r="CZ67">
        <v>2282</v>
      </c>
      <c r="DA67">
        <v>536</v>
      </c>
      <c r="DB67">
        <v>85.1078001753</v>
      </c>
      <c r="DC67">
        <v>707</v>
      </c>
      <c r="DD67">
        <v>147</v>
      </c>
      <c r="DE67">
        <v>147.76803394629999</v>
      </c>
      <c r="DF67">
        <v>148.6666666667</v>
      </c>
      <c r="DH67" t="s">
        <v>387</v>
      </c>
      <c r="DI67" t="s">
        <v>899</v>
      </c>
      <c r="DK67">
        <v>2873</v>
      </c>
      <c r="DL67">
        <v>728</v>
      </c>
      <c r="DM67">
        <v>85.803341454900007</v>
      </c>
      <c r="DN67">
        <v>993</v>
      </c>
      <c r="DO67">
        <v>200</v>
      </c>
      <c r="DP67">
        <v>137.4058408862</v>
      </c>
      <c r="DQ67">
        <v>137.96</v>
      </c>
    </row>
    <row r="68" spans="62:121" x14ac:dyDescent="0.2">
      <c r="BJ68" t="s">
        <v>314</v>
      </c>
      <c r="BK68" t="s">
        <v>702</v>
      </c>
      <c r="BL68">
        <v>9891</v>
      </c>
      <c r="BM68">
        <v>1816</v>
      </c>
      <c r="BN68">
        <v>78.466990193100003</v>
      </c>
      <c r="BO68">
        <v>3559</v>
      </c>
      <c r="BP68">
        <v>698</v>
      </c>
      <c r="BQ68">
        <v>128.22618713119999</v>
      </c>
      <c r="BR68">
        <v>136.5744985673</v>
      </c>
      <c r="BS68">
        <v>493</v>
      </c>
      <c r="BT68">
        <v>91</v>
      </c>
      <c r="BU68">
        <v>74.569979716000006</v>
      </c>
      <c r="BV68">
        <v>280</v>
      </c>
      <c r="BW68">
        <v>43</v>
      </c>
      <c r="BX68">
        <v>90.3285714286</v>
      </c>
      <c r="BY68">
        <v>100.6046511628</v>
      </c>
      <c r="CA68" t="s">
        <v>705</v>
      </c>
      <c r="CD68">
        <v>366684</v>
      </c>
      <c r="CE68">
        <v>75996</v>
      </c>
      <c r="CF68">
        <v>90.240444088100006</v>
      </c>
      <c r="CG68">
        <v>247328</v>
      </c>
      <c r="CH68">
        <v>43689</v>
      </c>
      <c r="CI68">
        <v>128.361709956</v>
      </c>
      <c r="CJ68">
        <v>129.19245118910001</v>
      </c>
      <c r="CL68" t="s">
        <v>705</v>
      </c>
      <c r="CO68">
        <v>366684</v>
      </c>
      <c r="CP68">
        <v>75996</v>
      </c>
      <c r="CQ68">
        <v>90.240444088100006</v>
      </c>
      <c r="CR68">
        <v>247328</v>
      </c>
      <c r="CS68">
        <v>43689</v>
      </c>
      <c r="CT68">
        <v>128.361709956</v>
      </c>
      <c r="CU68">
        <v>129.19245118910001</v>
      </c>
      <c r="CW68" t="s">
        <v>705</v>
      </c>
      <c r="CZ68">
        <v>366684</v>
      </c>
      <c r="DA68">
        <v>75996</v>
      </c>
      <c r="DB68">
        <v>90.240444088100006</v>
      </c>
      <c r="DC68">
        <v>247328</v>
      </c>
      <c r="DD68">
        <v>43689</v>
      </c>
      <c r="DE68">
        <v>128.361709956</v>
      </c>
      <c r="DF68">
        <v>129.19245118910001</v>
      </c>
      <c r="DH68" t="s">
        <v>705</v>
      </c>
      <c r="DK68">
        <v>366684</v>
      </c>
      <c r="DL68">
        <v>75996</v>
      </c>
      <c r="DM68">
        <v>90.240444088100006</v>
      </c>
      <c r="DN68">
        <v>247328</v>
      </c>
      <c r="DO68">
        <v>43689</v>
      </c>
      <c r="DP68">
        <v>128.361709956</v>
      </c>
      <c r="DQ68">
        <v>129.19245118910001</v>
      </c>
    </row>
    <row r="69" spans="62:121" x14ac:dyDescent="0.2">
      <c r="BJ69" t="s">
        <v>217</v>
      </c>
      <c r="BK69" t="s">
        <v>702</v>
      </c>
      <c r="BL69">
        <v>64</v>
      </c>
      <c r="BM69">
        <v>6</v>
      </c>
      <c r="BN69">
        <v>81.453125</v>
      </c>
      <c r="BO69">
        <v>36</v>
      </c>
      <c r="BP69">
        <v>7</v>
      </c>
      <c r="BQ69">
        <v>152.25</v>
      </c>
      <c r="BR69">
        <v>152</v>
      </c>
      <c r="BS69">
        <v>4477</v>
      </c>
      <c r="BT69">
        <v>407</v>
      </c>
      <c r="BU69">
        <v>69.329461693100001</v>
      </c>
      <c r="BV69">
        <v>2014</v>
      </c>
      <c r="BW69">
        <v>398</v>
      </c>
      <c r="BX69">
        <v>119.3291956306</v>
      </c>
      <c r="BY69">
        <v>128.66331658289999</v>
      </c>
    </row>
    <row r="70" spans="62:121" x14ac:dyDescent="0.2">
      <c r="BJ70" t="s">
        <v>702</v>
      </c>
      <c r="BK70" t="s">
        <v>702</v>
      </c>
      <c r="BL70">
        <v>11913</v>
      </c>
      <c r="BM70">
        <v>2339</v>
      </c>
      <c r="BN70">
        <v>80.065642575300004</v>
      </c>
      <c r="BO70">
        <v>4421</v>
      </c>
      <c r="BP70">
        <v>840</v>
      </c>
      <c r="BQ70">
        <v>130.7787830808</v>
      </c>
      <c r="BR70">
        <v>136.74166666670001</v>
      </c>
      <c r="BS70">
        <v>11913</v>
      </c>
      <c r="BT70">
        <v>2339</v>
      </c>
      <c r="BU70">
        <v>80.065642575300004</v>
      </c>
      <c r="BV70">
        <v>4421</v>
      </c>
      <c r="BW70">
        <v>840</v>
      </c>
      <c r="BX70">
        <v>130.7787830808</v>
      </c>
      <c r="BY70">
        <v>136.74166666670001</v>
      </c>
    </row>
    <row r="71" spans="62:121" x14ac:dyDescent="0.2">
      <c r="BJ71" t="s">
        <v>219</v>
      </c>
      <c r="BK71" t="s">
        <v>702</v>
      </c>
      <c r="BL71">
        <v>1958</v>
      </c>
      <c r="BM71">
        <v>517</v>
      </c>
      <c r="BN71">
        <v>88.096016343200006</v>
      </c>
      <c r="BO71">
        <v>826</v>
      </c>
      <c r="BP71">
        <v>135</v>
      </c>
      <c r="BQ71">
        <v>140.84140435840001</v>
      </c>
      <c r="BR71">
        <v>136.8148148148</v>
      </c>
      <c r="BS71">
        <v>6943</v>
      </c>
      <c r="BT71">
        <v>1841</v>
      </c>
      <c r="BU71">
        <v>87.378798790100006</v>
      </c>
      <c r="BV71">
        <v>2127</v>
      </c>
      <c r="BW71">
        <v>399</v>
      </c>
      <c r="BX71">
        <v>146.94499294779999</v>
      </c>
      <c r="BY71">
        <v>148.69423558899999</v>
      </c>
    </row>
    <row r="72" spans="62:121" x14ac:dyDescent="0.2">
      <c r="BJ72" t="s">
        <v>215</v>
      </c>
      <c r="BK72" t="s">
        <v>703</v>
      </c>
      <c r="BL72">
        <v>7071</v>
      </c>
      <c r="BM72">
        <v>584</v>
      </c>
      <c r="BN72">
        <v>64.223872153900004</v>
      </c>
      <c r="BO72">
        <v>7832</v>
      </c>
      <c r="BP72">
        <v>1530</v>
      </c>
      <c r="BQ72">
        <v>67.175817160400001</v>
      </c>
      <c r="BR72">
        <v>73.009150326799997</v>
      </c>
      <c r="BS72">
        <v>7071</v>
      </c>
      <c r="BT72">
        <v>579</v>
      </c>
      <c r="BU72">
        <v>63.987696223999997</v>
      </c>
      <c r="BV72">
        <v>7863</v>
      </c>
      <c r="BW72">
        <v>1534</v>
      </c>
      <c r="BX72">
        <v>67.398575607300003</v>
      </c>
      <c r="BY72">
        <v>73.115384615400004</v>
      </c>
    </row>
    <row r="73" spans="62:121" x14ac:dyDescent="0.2">
      <c r="BJ73" t="s">
        <v>230</v>
      </c>
      <c r="BK73" t="s">
        <v>703</v>
      </c>
      <c r="BL73">
        <v>602</v>
      </c>
      <c r="BM73">
        <v>272</v>
      </c>
      <c r="BN73">
        <v>169.81395348839999</v>
      </c>
      <c r="BO73">
        <v>1041</v>
      </c>
      <c r="BP73">
        <v>169</v>
      </c>
      <c r="BQ73">
        <v>52.980787704100003</v>
      </c>
      <c r="BR73">
        <v>64.088757396399998</v>
      </c>
      <c r="BS73">
        <v>546</v>
      </c>
      <c r="BT73">
        <v>269</v>
      </c>
      <c r="BU73">
        <v>181.62454212450001</v>
      </c>
      <c r="BV73">
        <v>882</v>
      </c>
      <c r="BW73">
        <v>148</v>
      </c>
      <c r="BX73">
        <v>40.603174603200003</v>
      </c>
      <c r="BY73">
        <v>58.263513513500001</v>
      </c>
    </row>
    <row r="74" spans="62:121" x14ac:dyDescent="0.2">
      <c r="BJ74" t="s">
        <v>216</v>
      </c>
      <c r="BK74" t="s">
        <v>703</v>
      </c>
      <c r="BL74">
        <v>11307</v>
      </c>
      <c r="BM74">
        <v>931</v>
      </c>
      <c r="BN74">
        <v>63.0918015389</v>
      </c>
      <c r="BO74">
        <v>8897</v>
      </c>
      <c r="BP74">
        <v>1630</v>
      </c>
      <c r="BQ74">
        <v>82.690232662699998</v>
      </c>
      <c r="BR74">
        <v>87.892638036799994</v>
      </c>
      <c r="BS74">
        <v>11350</v>
      </c>
      <c r="BT74">
        <v>945</v>
      </c>
      <c r="BU74">
        <v>63.333039647600003</v>
      </c>
      <c r="BV74">
        <v>8958</v>
      </c>
      <c r="BW74">
        <v>1640</v>
      </c>
      <c r="BX74">
        <v>83.224380442099999</v>
      </c>
      <c r="BY74">
        <v>88.343902439000004</v>
      </c>
    </row>
    <row r="75" spans="62:121" x14ac:dyDescent="0.2">
      <c r="BJ75" t="s">
        <v>218</v>
      </c>
      <c r="BK75" t="s">
        <v>703</v>
      </c>
      <c r="BL75">
        <v>7192</v>
      </c>
      <c r="BM75">
        <v>479</v>
      </c>
      <c r="BN75">
        <v>58.9838709677</v>
      </c>
      <c r="BO75">
        <v>10852</v>
      </c>
      <c r="BP75">
        <v>1741</v>
      </c>
      <c r="BQ75">
        <v>65.105786951699997</v>
      </c>
      <c r="BR75">
        <v>69.379666858099995</v>
      </c>
      <c r="BS75">
        <v>7205</v>
      </c>
      <c r="BT75">
        <v>473</v>
      </c>
      <c r="BU75">
        <v>58.777515614199999</v>
      </c>
      <c r="BV75">
        <v>10919</v>
      </c>
      <c r="BW75">
        <v>1748</v>
      </c>
      <c r="BX75">
        <v>65.226302774999994</v>
      </c>
      <c r="BY75">
        <v>69.178489702500002</v>
      </c>
    </row>
    <row r="76" spans="62:121" x14ac:dyDescent="0.2">
      <c r="BJ76" t="s">
        <v>703</v>
      </c>
      <c r="BK76" t="s">
        <v>703</v>
      </c>
      <c r="BL76">
        <v>26172</v>
      </c>
      <c r="BM76">
        <v>2266</v>
      </c>
      <c r="BN76">
        <v>64.723597737999995</v>
      </c>
      <c r="BO76">
        <v>28622</v>
      </c>
      <c r="BP76">
        <v>5070</v>
      </c>
      <c r="BQ76">
        <v>70.697260848300004</v>
      </c>
      <c r="BR76">
        <v>76.250493096599996</v>
      </c>
      <c r="BS76">
        <v>26172</v>
      </c>
      <c r="BT76">
        <v>2266</v>
      </c>
      <c r="BU76">
        <v>64.723597737999995</v>
      </c>
      <c r="BV76">
        <v>28622</v>
      </c>
      <c r="BW76">
        <v>5070</v>
      </c>
      <c r="BX76">
        <v>70.697260848300004</v>
      </c>
      <c r="BY76">
        <v>76.250493096599996</v>
      </c>
    </row>
    <row r="77" spans="62:121" x14ac:dyDescent="0.2">
      <c r="BJ77" t="s">
        <v>313</v>
      </c>
      <c r="BK77" t="s">
        <v>704</v>
      </c>
      <c r="BL77">
        <v>7144</v>
      </c>
      <c r="BM77">
        <v>1340</v>
      </c>
      <c r="BN77">
        <v>79.616741321399999</v>
      </c>
      <c r="BO77">
        <v>2182</v>
      </c>
      <c r="BP77">
        <v>441</v>
      </c>
      <c r="BQ77">
        <v>140.00916590279999</v>
      </c>
      <c r="BR77">
        <v>146.05668934240001</v>
      </c>
      <c r="BS77">
        <v>399</v>
      </c>
      <c r="BT77">
        <v>52</v>
      </c>
      <c r="BU77">
        <v>57.295739348399998</v>
      </c>
      <c r="BV77">
        <v>111</v>
      </c>
      <c r="BW77">
        <v>30</v>
      </c>
      <c r="BX77">
        <v>119.6936936937</v>
      </c>
      <c r="BY77">
        <v>126.03333333330001</v>
      </c>
    </row>
    <row r="78" spans="62:121" x14ac:dyDescent="0.2">
      <c r="BJ78" t="s">
        <v>963</v>
      </c>
      <c r="BK78" t="s">
        <v>704</v>
      </c>
      <c r="BL78">
        <v>1768</v>
      </c>
      <c r="BM78">
        <v>224</v>
      </c>
      <c r="BN78">
        <v>78.395927601799997</v>
      </c>
      <c r="BO78">
        <v>885</v>
      </c>
      <c r="BP78">
        <v>176</v>
      </c>
      <c r="BQ78">
        <v>120.65875706209999</v>
      </c>
      <c r="BR78">
        <v>130.5625</v>
      </c>
      <c r="BS78">
        <v>4746</v>
      </c>
      <c r="BT78">
        <v>533</v>
      </c>
      <c r="BU78">
        <v>74.235988200600005</v>
      </c>
      <c r="BV78">
        <v>1902</v>
      </c>
      <c r="BW78">
        <v>378</v>
      </c>
      <c r="BX78">
        <v>122.72344900109999</v>
      </c>
      <c r="BY78">
        <v>132.31216931220001</v>
      </c>
    </row>
    <row r="79" spans="62:121" x14ac:dyDescent="0.2">
      <c r="BJ79" t="s">
        <v>704</v>
      </c>
      <c r="BK79" t="s">
        <v>704</v>
      </c>
      <c r="BL79">
        <v>10722</v>
      </c>
      <c r="BM79">
        <v>1972</v>
      </c>
      <c r="BN79">
        <v>80.201641484800007</v>
      </c>
      <c r="BO79">
        <v>3751</v>
      </c>
      <c r="BP79">
        <v>745</v>
      </c>
      <c r="BQ79">
        <v>137.26952812580001</v>
      </c>
      <c r="BR79">
        <v>143.43221476510001</v>
      </c>
      <c r="BS79">
        <v>10722</v>
      </c>
      <c r="BT79">
        <v>1972</v>
      </c>
      <c r="BU79">
        <v>80.201641484800007</v>
      </c>
      <c r="BV79">
        <v>3751</v>
      </c>
      <c r="BW79">
        <v>745</v>
      </c>
      <c r="BX79">
        <v>137.26952812580001</v>
      </c>
      <c r="BY79">
        <v>143.43221476510001</v>
      </c>
    </row>
    <row r="80" spans="62:121" x14ac:dyDescent="0.2">
      <c r="BJ80" t="s">
        <v>964</v>
      </c>
      <c r="BK80" t="s">
        <v>704</v>
      </c>
      <c r="BL80">
        <v>1810</v>
      </c>
      <c r="BM80">
        <v>408</v>
      </c>
      <c r="BN80">
        <v>84.274033149199994</v>
      </c>
      <c r="BO80">
        <v>684</v>
      </c>
      <c r="BP80">
        <v>128</v>
      </c>
      <c r="BQ80">
        <v>150.02192982459999</v>
      </c>
      <c r="BR80">
        <v>152.0859375</v>
      </c>
      <c r="BS80">
        <v>5577</v>
      </c>
      <c r="BT80">
        <v>1387</v>
      </c>
      <c r="BU80">
        <v>86.917159763300006</v>
      </c>
      <c r="BV80">
        <v>1738</v>
      </c>
      <c r="BW80">
        <v>337</v>
      </c>
      <c r="BX80">
        <v>154.31070195629999</v>
      </c>
      <c r="BY80">
        <v>157.45400593470001</v>
      </c>
    </row>
    <row r="81" spans="62:77" x14ac:dyDescent="0.2">
      <c r="BJ81" t="s">
        <v>705</v>
      </c>
      <c r="BL81">
        <v>366684</v>
      </c>
      <c r="BM81">
        <v>75996</v>
      </c>
      <c r="BN81" s="153">
        <v>90.240444088100006</v>
      </c>
      <c r="BO81">
        <v>247328</v>
      </c>
      <c r="BP81">
        <v>43689</v>
      </c>
      <c r="BQ81">
        <v>128.361709956</v>
      </c>
      <c r="BR81">
        <v>129.19245118910001</v>
      </c>
      <c r="BS81">
        <v>366684</v>
      </c>
      <c r="BT81">
        <v>75996</v>
      </c>
      <c r="BU81">
        <v>90.240444088100006</v>
      </c>
      <c r="BV81">
        <v>247328</v>
      </c>
      <c r="BW81">
        <v>43689</v>
      </c>
      <c r="BX81">
        <v>128.361709956</v>
      </c>
      <c r="BY81">
        <v>129.19245118910001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42341.621261574073</v>
      </c>
      <c r="E3" t="s">
        <v>169</v>
      </c>
      <c r="F3" s="19">
        <v>0.96727389651483064</v>
      </c>
      <c r="G3" s="19">
        <v>0.91449676823638049</v>
      </c>
      <c r="H3" s="19">
        <v>0.90926586461922898</v>
      </c>
      <c r="I3" s="19">
        <v>4.6145982587194039E-2</v>
      </c>
      <c r="J3" s="19">
        <v>0.91694425085075304</v>
      </c>
      <c r="K3" s="19">
        <v>4.6078283813111583E-2</v>
      </c>
      <c r="L3" s="19"/>
      <c r="M3" s="19"/>
      <c r="N3" s="19"/>
      <c r="O3" s="19"/>
      <c r="P3" s="19"/>
    </row>
    <row r="4" spans="2:16" x14ac:dyDescent="0.2">
      <c r="B4" t="s">
        <v>652</v>
      </c>
      <c r="C4" t="s">
        <v>411</v>
      </c>
      <c r="D4" s="18">
        <v>42341.621261574073</v>
      </c>
      <c r="E4" t="s">
        <v>194</v>
      </c>
      <c r="F4" s="19">
        <v>0.91310517328459062</v>
      </c>
      <c r="G4" s="19">
        <v>0.96180648619673004</v>
      </c>
      <c r="H4" s="19">
        <v>0.88228455712222498</v>
      </c>
      <c r="I4" s="19">
        <v>4.5097952605306017E-2</v>
      </c>
      <c r="J4" s="19">
        <v>0.93977887550630157</v>
      </c>
      <c r="K4" s="19">
        <v>4.2731754147026069E-2</v>
      </c>
      <c r="L4" s="19"/>
      <c r="M4" s="19"/>
      <c r="N4" s="19"/>
      <c r="O4" s="19"/>
      <c r="P4" s="19"/>
    </row>
    <row r="5" spans="2:16" x14ac:dyDescent="0.2">
      <c r="B5" t="s">
        <v>546</v>
      </c>
      <c r="C5" t="s">
        <v>387</v>
      </c>
      <c r="D5" s="18">
        <v>42341.621261574073</v>
      </c>
      <c r="E5" t="s">
        <v>151</v>
      </c>
      <c r="F5" s="19">
        <v>0.96260119423551715</v>
      </c>
      <c r="G5" s="19">
        <v>0.90817754207363377</v>
      </c>
      <c r="H5" s="19">
        <v>0.89893154864193836</v>
      </c>
      <c r="I5" s="19">
        <v>4.4668502819154202E-2</v>
      </c>
      <c r="J5" s="19">
        <v>0.85126584565164432</v>
      </c>
      <c r="K5" s="19">
        <v>5.1431881884430125E-2</v>
      </c>
      <c r="L5" s="19"/>
      <c r="M5" s="19"/>
      <c r="N5" s="19"/>
      <c r="O5" s="19"/>
      <c r="P5" s="19"/>
    </row>
    <row r="6" spans="2:16" x14ac:dyDescent="0.2">
      <c r="B6" t="s">
        <v>540</v>
      </c>
      <c r="C6" t="s">
        <v>376</v>
      </c>
      <c r="D6" s="18">
        <v>42341.621261574073</v>
      </c>
      <c r="E6" t="s">
        <v>149</v>
      </c>
      <c r="F6" s="19">
        <v>0.95020192985309282</v>
      </c>
      <c r="G6" s="19">
        <v>0.8032912069031346</v>
      </c>
      <c r="H6" s="19">
        <v>0.83704533653377067</v>
      </c>
      <c r="I6" s="19">
        <v>4.6605980709748994E-2</v>
      </c>
      <c r="J6" s="19">
        <v>0.86662322020532823</v>
      </c>
      <c r="K6" s="19">
        <v>4.9817097387363916E-2</v>
      </c>
      <c r="L6" s="19"/>
      <c r="M6" s="19"/>
      <c r="N6" s="19"/>
      <c r="O6" s="19"/>
      <c r="P6" s="19"/>
    </row>
    <row r="7" spans="2:16" x14ac:dyDescent="0.2">
      <c r="B7" t="s">
        <v>608</v>
      </c>
      <c r="C7" t="s">
        <v>411</v>
      </c>
      <c r="D7" s="18">
        <v>42341.621261574073</v>
      </c>
      <c r="E7" t="s">
        <v>175</v>
      </c>
      <c r="F7" s="19">
        <v>0.98372715242503561</v>
      </c>
      <c r="G7" s="19">
        <v>0.96208582292232481</v>
      </c>
      <c r="H7" s="19">
        <v>0.94031089247695743</v>
      </c>
      <c r="I7" s="19">
        <v>4.3216466165508012E-2</v>
      </c>
      <c r="J7" s="19">
        <v>0.96651936808937056</v>
      </c>
      <c r="K7" s="19">
        <v>2.7548582625716519E-2</v>
      </c>
      <c r="L7" s="19"/>
      <c r="M7" s="19"/>
      <c r="N7" s="19"/>
      <c r="O7" s="19"/>
      <c r="P7" s="19"/>
    </row>
    <row r="8" spans="2:16" x14ac:dyDescent="0.2">
      <c r="B8" t="s">
        <v>519</v>
      </c>
      <c r="C8" t="s">
        <v>376</v>
      </c>
      <c r="D8" s="18">
        <v>42341.621261574073</v>
      </c>
      <c r="E8" t="s">
        <v>142</v>
      </c>
      <c r="F8" s="19">
        <v>0.91706819540674567</v>
      </c>
      <c r="G8" s="19">
        <v>0.83029133029133018</v>
      </c>
      <c r="H8" s="19">
        <v>0.82793141316827235</v>
      </c>
      <c r="I8" s="19">
        <v>5.8542969046113245E-2</v>
      </c>
      <c r="J8" s="19">
        <v>0.91525336038029659</v>
      </c>
      <c r="K8" s="19">
        <v>5.5956485067688175E-2</v>
      </c>
      <c r="L8" s="19"/>
      <c r="M8" s="19"/>
      <c r="N8" s="19"/>
      <c r="O8" s="19"/>
      <c r="P8" s="19"/>
    </row>
    <row r="9" spans="2:16" x14ac:dyDescent="0.2">
      <c r="B9" t="s">
        <v>527</v>
      </c>
      <c r="C9" t="s">
        <v>376</v>
      </c>
      <c r="D9" s="18">
        <v>42341.621261574073</v>
      </c>
      <c r="E9" t="s">
        <v>145</v>
      </c>
      <c r="F9" s="19">
        <v>0.97656463248196534</v>
      </c>
      <c r="G9" s="19">
        <v>0.92374234960441859</v>
      </c>
      <c r="H9" s="19">
        <v>0.88581863935522454</v>
      </c>
      <c r="I9" s="19">
        <v>4.9569999406535815E-2</v>
      </c>
      <c r="J9" s="19">
        <v>0.87522193823655736</v>
      </c>
      <c r="K9" s="19">
        <v>4.7629350570120937E-2</v>
      </c>
      <c r="L9" s="19"/>
      <c r="M9" s="19"/>
      <c r="N9" s="19"/>
      <c r="O9" s="19"/>
      <c r="P9" s="19"/>
    </row>
    <row r="10" spans="2:16" x14ac:dyDescent="0.2">
      <c r="B10" t="s">
        <v>644</v>
      </c>
      <c r="C10" t="s">
        <v>392</v>
      </c>
      <c r="D10" s="18">
        <v>42341.621261574073</v>
      </c>
      <c r="E10" t="s">
        <v>680</v>
      </c>
      <c r="F10" s="19">
        <v>0.98099912563648517</v>
      </c>
      <c r="G10" s="19">
        <v>0.90357941834451894</v>
      </c>
      <c r="H10" s="19">
        <v>0.87341347517308554</v>
      </c>
      <c r="I10" s="19">
        <v>5.4188023038027493E-2</v>
      </c>
      <c r="J10" s="19">
        <v>0.88843479898393185</v>
      </c>
      <c r="K10" s="19">
        <v>5.6335779165297452E-2</v>
      </c>
      <c r="L10" s="19"/>
      <c r="M10" s="19"/>
      <c r="N10" s="19"/>
      <c r="O10" s="19"/>
      <c r="P10" s="19"/>
    </row>
    <row r="11" spans="2:16" x14ac:dyDescent="0.2">
      <c r="B11" t="s">
        <v>574</v>
      </c>
      <c r="C11" t="s">
        <v>397</v>
      </c>
      <c r="D11" s="18">
        <v>42341.621261574073</v>
      </c>
      <c r="E11" t="s">
        <v>161</v>
      </c>
      <c r="F11" s="19">
        <v>0.92083536242216379</v>
      </c>
      <c r="G11" s="19">
        <v>0.89256339309403776</v>
      </c>
      <c r="H11" s="19">
        <v>0.87215345710898828</v>
      </c>
      <c r="I11" s="19">
        <v>4.6825572445654086E-2</v>
      </c>
      <c r="J11" s="19">
        <v>0.86025857153224872</v>
      </c>
      <c r="K11" s="19">
        <v>5.0643152942156246E-2</v>
      </c>
      <c r="L11" s="253"/>
      <c r="M11" s="253"/>
      <c r="N11" s="253"/>
      <c r="O11" s="253"/>
      <c r="P11" s="253"/>
    </row>
    <row r="12" spans="2:16" x14ac:dyDescent="0.2">
      <c r="B12" t="s">
        <v>566</v>
      </c>
      <c r="C12" t="s">
        <v>397</v>
      </c>
      <c r="D12" s="18">
        <v>42341.621261574073</v>
      </c>
      <c r="E12" t="s">
        <v>158</v>
      </c>
      <c r="F12" s="19">
        <v>0.97646774206594622</v>
      </c>
      <c r="G12" s="19">
        <v>0.90227309372343245</v>
      </c>
      <c r="H12" s="19">
        <v>0.92990711594197739</v>
      </c>
      <c r="I12" s="19">
        <v>3.9587037021971486E-2</v>
      </c>
      <c r="J12" s="19">
        <v>0.87180172557354396</v>
      </c>
      <c r="K12" s="19">
        <v>6.0100135983290247E-2</v>
      </c>
      <c r="L12" s="19"/>
      <c r="M12" s="19"/>
      <c r="N12" s="19"/>
      <c r="O12" s="19"/>
      <c r="P12" s="19"/>
    </row>
    <row r="13" spans="2:16" x14ac:dyDescent="0.2">
      <c r="B13" t="s">
        <v>554</v>
      </c>
      <c r="C13" t="s">
        <v>387</v>
      </c>
      <c r="D13" s="18">
        <v>42341.621261574073</v>
      </c>
      <c r="E13" t="s">
        <v>154</v>
      </c>
      <c r="F13" s="19">
        <v>0.98524246991153308</v>
      </c>
      <c r="G13" s="19">
        <v>0.95756659374597863</v>
      </c>
      <c r="H13" s="19">
        <v>0.93849101986780581</v>
      </c>
      <c r="I13" s="19">
        <v>4.7384697890509531E-2</v>
      </c>
      <c r="J13" s="19">
        <v>0.92107141005092885</v>
      </c>
      <c r="K13" s="19">
        <v>5.2456606787567639E-2</v>
      </c>
      <c r="L13" s="19"/>
      <c r="M13" s="19"/>
      <c r="N13" s="19"/>
      <c r="O13" s="19"/>
      <c r="P13" s="19"/>
    </row>
    <row r="14" spans="2:16" x14ac:dyDescent="0.2">
      <c r="B14" t="s">
        <v>392</v>
      </c>
      <c r="C14" t="s">
        <v>392</v>
      </c>
      <c r="D14" s="18">
        <v>42341.621261574073</v>
      </c>
      <c r="E14" t="s">
        <v>671</v>
      </c>
      <c r="F14" s="19">
        <v>0.96698746128003521</v>
      </c>
      <c r="G14" s="19">
        <v>0.89862214160854759</v>
      </c>
      <c r="H14" s="19">
        <v>0.90657286935558179</v>
      </c>
      <c r="I14" s="19">
        <v>1.6897493879863036E-2</v>
      </c>
      <c r="J14" s="19">
        <v>0.93697006463492272</v>
      </c>
      <c r="K14" s="19">
        <v>1.5021123286070264E-2</v>
      </c>
      <c r="L14" s="19"/>
      <c r="M14" s="19"/>
      <c r="N14" s="19"/>
      <c r="O14" s="19"/>
      <c r="P14" s="19"/>
    </row>
    <row r="15" spans="2:16" x14ac:dyDescent="0.2">
      <c r="B15" t="s">
        <v>591</v>
      </c>
      <c r="C15" t="s">
        <v>392</v>
      </c>
      <c r="D15" s="18">
        <v>42341.621261574073</v>
      </c>
      <c r="E15" t="s">
        <v>168</v>
      </c>
      <c r="F15" s="19">
        <v>0.97118953439930578</v>
      </c>
      <c r="G15" s="19">
        <v>0.8738451886800559</v>
      </c>
      <c r="H15" s="19">
        <v>0.92607408691112714</v>
      </c>
      <c r="I15" s="19">
        <v>4.1775122944902779E-2</v>
      </c>
      <c r="J15" s="19">
        <v>0.91942421728307455</v>
      </c>
      <c r="K15" s="19">
        <v>4.3675473026956409E-2</v>
      </c>
      <c r="L15" s="19"/>
      <c r="M15" s="19"/>
      <c r="N15" s="19"/>
      <c r="O15" s="19"/>
      <c r="P15" s="19"/>
    </row>
    <row r="16" spans="2:16" x14ac:dyDescent="0.2">
      <c r="B16" t="s">
        <v>583</v>
      </c>
      <c r="C16" t="s">
        <v>397</v>
      </c>
      <c r="D16" s="18">
        <v>42341.621261574073</v>
      </c>
      <c r="E16" t="s">
        <v>165</v>
      </c>
      <c r="F16" s="19">
        <v>0.97354048526540859</v>
      </c>
      <c r="G16" s="19">
        <v>0.94822934232715017</v>
      </c>
      <c r="H16" s="19">
        <v>0.97715611052279394</v>
      </c>
      <c r="I16" s="19">
        <v>2.1313100023152245E-2</v>
      </c>
      <c r="J16" s="19">
        <v>0.9741930261066668</v>
      </c>
      <c r="K16" s="19">
        <v>2.2748581534967373E-2</v>
      </c>
      <c r="L16" s="253"/>
      <c r="M16" s="253"/>
      <c r="N16" s="253"/>
      <c r="O16" s="253"/>
      <c r="P16" s="253"/>
    </row>
    <row r="17" spans="2:16" x14ac:dyDescent="0.2">
      <c r="B17" t="s">
        <v>576</v>
      </c>
      <c r="C17" t="s">
        <v>397</v>
      </c>
      <c r="D17" s="18">
        <v>42341.621261574073</v>
      </c>
      <c r="E17" t="s">
        <v>162</v>
      </c>
      <c r="F17" s="19">
        <v>0.93739933747575988</v>
      </c>
      <c r="G17" s="19">
        <v>0.93272556121718142</v>
      </c>
      <c r="H17" s="19">
        <v>0.88932179289463631</v>
      </c>
      <c r="I17" s="19">
        <v>4.5930896554215436E-2</v>
      </c>
      <c r="J17" s="19">
        <v>0.90480435541563575</v>
      </c>
      <c r="K17" s="19">
        <v>4.8076736238614616E-2</v>
      </c>
      <c r="L17" s="19"/>
      <c r="M17" s="19"/>
      <c r="N17" s="19"/>
      <c r="O17" s="19"/>
      <c r="P17" s="19"/>
    </row>
    <row r="18" spans="2:16" x14ac:dyDescent="0.2">
      <c r="B18" t="s">
        <v>640</v>
      </c>
      <c r="C18" t="s">
        <v>397</v>
      </c>
      <c r="D18" s="18">
        <v>42341.621261574073</v>
      </c>
      <c r="E18" t="s">
        <v>189</v>
      </c>
      <c r="F18" s="19">
        <v>0.95281082219180968</v>
      </c>
      <c r="G18" s="19">
        <v>0.84969823584029713</v>
      </c>
      <c r="H18" s="19">
        <v>0.93174723772488588</v>
      </c>
      <c r="I18" s="19">
        <v>4.1675579626240238E-2</v>
      </c>
      <c r="J18" s="19">
        <v>0.96377932533457833</v>
      </c>
      <c r="K18" s="19">
        <v>3.1299983404975439E-2</v>
      </c>
      <c r="L18" s="19"/>
      <c r="M18" s="19"/>
      <c r="N18" s="19"/>
      <c r="O18" s="19"/>
      <c r="P18" s="19"/>
    </row>
    <row r="19" spans="2:16" x14ac:dyDescent="0.2">
      <c r="B19" t="s">
        <v>638</v>
      </c>
      <c r="C19" t="s">
        <v>392</v>
      </c>
      <c r="D19" s="18">
        <v>42341.621261574073</v>
      </c>
      <c r="E19" t="s">
        <v>188</v>
      </c>
      <c r="F19" s="19">
        <v>0.97932456531431133</v>
      </c>
      <c r="G19" s="19">
        <v>0.93172014729089947</v>
      </c>
      <c r="H19" s="19">
        <v>0.93962723314955776</v>
      </c>
      <c r="I19" s="19">
        <v>4.1484510665432808E-2</v>
      </c>
      <c r="J19" s="19">
        <v>0.94806752995432253</v>
      </c>
      <c r="K19" s="19">
        <v>3.3314937800349116E-2</v>
      </c>
      <c r="L19" s="19"/>
      <c r="M19" s="19"/>
      <c r="N19" s="19"/>
      <c r="O19" s="19"/>
      <c r="P19" s="19"/>
    </row>
    <row r="20" spans="2:16" x14ac:dyDescent="0.2">
      <c r="B20" t="s">
        <v>529</v>
      </c>
      <c r="C20" t="s">
        <v>376</v>
      </c>
      <c r="D20" s="18">
        <v>42341.621261574073</v>
      </c>
      <c r="E20" t="s">
        <v>146</v>
      </c>
      <c r="F20" s="19">
        <v>0.97054664400291391</v>
      </c>
      <c r="G20" s="19">
        <v>0.90484696915565077</v>
      </c>
      <c r="H20" s="19">
        <v>0.91229359862054049</v>
      </c>
      <c r="I20" s="19">
        <v>4.4833904578174925E-2</v>
      </c>
      <c r="J20" s="19">
        <v>0.96706286742266068</v>
      </c>
      <c r="K20" s="19">
        <v>3.3241064958263136E-2</v>
      </c>
      <c r="L20" s="19"/>
      <c r="M20" s="19"/>
      <c r="N20" s="19"/>
      <c r="O20" s="19"/>
      <c r="P20" s="19"/>
    </row>
    <row r="21" spans="2:16" x14ac:dyDescent="0.2">
      <c r="B21" t="s">
        <v>648</v>
      </c>
      <c r="C21" t="s">
        <v>411</v>
      </c>
      <c r="D21" s="18">
        <v>42341.621261574073</v>
      </c>
      <c r="E21" t="s">
        <v>192</v>
      </c>
      <c r="F21" s="19">
        <v>0.93583675473654038</v>
      </c>
      <c r="G21" s="19">
        <v>0.82773395656831239</v>
      </c>
      <c r="H21" s="19">
        <v>0.89124907201187842</v>
      </c>
      <c r="I21" s="19">
        <v>4.5166515469331259E-2</v>
      </c>
      <c r="J21" s="19">
        <v>0.95669069340638879</v>
      </c>
      <c r="K21" s="19">
        <v>3.3852756410987721E-2</v>
      </c>
      <c r="L21" s="19"/>
      <c r="M21" s="19"/>
      <c r="N21" s="19"/>
      <c r="O21" s="19"/>
      <c r="P21" s="19"/>
    </row>
    <row r="22" spans="2:16" x14ac:dyDescent="0.2">
      <c r="B22" t="s">
        <v>626</v>
      </c>
      <c r="C22" t="s">
        <v>392</v>
      </c>
      <c r="D22" s="18">
        <v>42341.621261574073</v>
      </c>
      <c r="E22" t="s">
        <v>183</v>
      </c>
      <c r="F22" s="19">
        <v>0.97220037883985289</v>
      </c>
      <c r="G22" s="19">
        <v>0.95418503386732612</v>
      </c>
      <c r="H22" s="19">
        <v>0.88844970317063909</v>
      </c>
      <c r="I22" s="19">
        <v>4.2108323717160799E-2</v>
      </c>
      <c r="J22" s="19">
        <v>0.92411966329199846</v>
      </c>
      <c r="K22" s="19">
        <v>4.0776848970982445E-2</v>
      </c>
      <c r="L22" s="19"/>
      <c r="M22" s="19"/>
      <c r="N22" s="19"/>
      <c r="O22" s="19"/>
      <c r="P22" s="19"/>
    </row>
    <row r="23" spans="2:16" x14ac:dyDescent="0.2">
      <c r="B23" t="s">
        <v>544</v>
      </c>
      <c r="C23" t="s">
        <v>376</v>
      </c>
      <c r="D23" s="18">
        <v>42341.621261574073</v>
      </c>
      <c r="E23" t="s">
        <v>150</v>
      </c>
      <c r="F23" s="19">
        <v>0.97282677228539993</v>
      </c>
      <c r="G23" s="19">
        <v>0.89002718974558159</v>
      </c>
      <c r="H23" s="19">
        <v>0.8966879945112981</v>
      </c>
      <c r="I23" s="19">
        <v>4.4971664608771104E-2</v>
      </c>
      <c r="J23" s="19">
        <v>0.90584974990550005</v>
      </c>
      <c r="K23" s="19">
        <v>4.8124312022041878E-2</v>
      </c>
      <c r="L23" s="19"/>
      <c r="M23" s="19"/>
      <c r="N23" s="19"/>
      <c r="O23" s="19"/>
      <c r="P23" s="19"/>
    </row>
    <row r="24" spans="2:16" x14ac:dyDescent="0.2">
      <c r="B24" t="s">
        <v>568</v>
      </c>
      <c r="C24" t="s">
        <v>397</v>
      </c>
      <c r="D24" s="18">
        <v>42341.621261574073</v>
      </c>
      <c r="E24" t="s">
        <v>159</v>
      </c>
      <c r="F24" s="19">
        <v>0.97274539918626879</v>
      </c>
      <c r="G24" s="19">
        <v>0.91151483841340919</v>
      </c>
      <c r="H24" s="19">
        <v>0.92559323732284904</v>
      </c>
      <c r="I24" s="19">
        <v>4.237343527799773E-2</v>
      </c>
      <c r="J24" s="19">
        <v>0.93456481918989875</v>
      </c>
      <c r="K24" s="19">
        <v>3.7661905037140925E-2</v>
      </c>
      <c r="L24" s="19"/>
      <c r="M24" s="19"/>
      <c r="N24" s="19"/>
      <c r="O24" s="19"/>
      <c r="P24" s="19"/>
    </row>
    <row r="25" spans="2:16" x14ac:dyDescent="0.2">
      <c r="B25" t="s">
        <v>562</v>
      </c>
      <c r="C25" t="s">
        <v>392</v>
      </c>
      <c r="D25" s="18">
        <v>42341.621261574073</v>
      </c>
      <c r="E25" t="s">
        <v>157</v>
      </c>
      <c r="F25" s="19">
        <v>0.97240238441327054</v>
      </c>
      <c r="G25" s="19">
        <v>0.90708963648679164</v>
      </c>
      <c r="H25" s="19">
        <v>0.90422448504209496</v>
      </c>
      <c r="I25" s="19">
        <v>4.0338744060947604E-2</v>
      </c>
      <c r="J25" s="19">
        <v>0.90327453383445955</v>
      </c>
      <c r="K25" s="19">
        <v>5.0433638561882078E-2</v>
      </c>
      <c r="L25" s="19"/>
      <c r="M25" s="19"/>
      <c r="N25" s="19"/>
      <c r="O25" s="19"/>
      <c r="P25" s="19"/>
    </row>
    <row r="26" spans="2:16" x14ac:dyDescent="0.2">
      <c r="B26" t="s">
        <v>585</v>
      </c>
      <c r="C26" t="s">
        <v>397</v>
      </c>
      <c r="D26" s="18">
        <v>42341.621261574073</v>
      </c>
      <c r="E26" t="s">
        <v>166</v>
      </c>
      <c r="F26" s="19">
        <v>0.98401556744735563</v>
      </c>
      <c r="G26" s="19">
        <v>0.92642716535433067</v>
      </c>
      <c r="H26" s="19">
        <v>0.96194782224187492</v>
      </c>
      <c r="I26" s="19">
        <v>3.4365901424945805E-2</v>
      </c>
      <c r="J26" s="19">
        <v>0.97465644109938854</v>
      </c>
      <c r="K26" s="19">
        <v>2.6720742387173785E-2</v>
      </c>
      <c r="L26" s="19"/>
      <c r="M26" s="19"/>
      <c r="N26" s="19"/>
      <c r="O26" s="19"/>
      <c r="P26" s="19"/>
    </row>
    <row r="27" spans="2:16" x14ac:dyDescent="0.2">
      <c r="B27" t="s">
        <v>614</v>
      </c>
      <c r="C27" t="s">
        <v>392</v>
      </c>
      <c r="D27" s="18">
        <v>42341.621261574073</v>
      </c>
      <c r="E27" t="s">
        <v>178</v>
      </c>
      <c r="F27" s="19">
        <v>0.9858230191654952</v>
      </c>
      <c r="G27" s="19">
        <v>0.93789892618457626</v>
      </c>
      <c r="H27" s="19">
        <v>0.90426767391073326</v>
      </c>
      <c r="I27" s="19">
        <v>4.9273886740432718E-2</v>
      </c>
      <c r="J27" s="19">
        <v>0.93419274619980475</v>
      </c>
      <c r="K27" s="19">
        <v>4.3094773278235222E-2</v>
      </c>
      <c r="L27" s="19"/>
      <c r="M27" s="19"/>
      <c r="N27" s="19"/>
      <c r="O27" s="19"/>
      <c r="P27" s="19"/>
    </row>
    <row r="28" spans="2:16" x14ac:dyDescent="0.2">
      <c r="B28" t="s">
        <v>600</v>
      </c>
      <c r="C28" t="s">
        <v>411</v>
      </c>
      <c r="D28" s="18">
        <v>42341.621261574073</v>
      </c>
      <c r="E28" t="s">
        <v>172</v>
      </c>
      <c r="F28" s="19">
        <v>0.97897465822683327</v>
      </c>
      <c r="G28" s="19">
        <v>0.95894795435569169</v>
      </c>
      <c r="H28" s="19">
        <v>0.89024766947293987</v>
      </c>
      <c r="I28" s="19">
        <v>4.4027778661129918E-2</v>
      </c>
      <c r="J28" s="19">
        <v>0.8884110423279562</v>
      </c>
      <c r="K28" s="19">
        <v>4.8184377302464297E-2</v>
      </c>
      <c r="L28" s="19"/>
      <c r="M28" s="19"/>
      <c r="N28" s="19"/>
      <c r="O28" s="19"/>
      <c r="P28" s="19"/>
    </row>
    <row r="29" spans="2:16" x14ac:dyDescent="0.2">
      <c r="B29" t="s">
        <v>570</v>
      </c>
      <c r="C29" t="s">
        <v>387</v>
      </c>
      <c r="D29" s="18">
        <v>42341.621261574073</v>
      </c>
      <c r="E29" t="s">
        <v>160</v>
      </c>
      <c r="F29" s="19">
        <v>0.98312349719225589</v>
      </c>
      <c r="G29" s="19">
        <v>0.95219803125824209</v>
      </c>
      <c r="H29" s="19">
        <v>0.91770290699512347</v>
      </c>
      <c r="I29" s="19">
        <v>4.4093669900638302E-2</v>
      </c>
      <c r="J29" s="19">
        <v>0.89313178642578916</v>
      </c>
      <c r="K29" s="19">
        <v>5.040841213678391E-2</v>
      </c>
      <c r="L29" s="19"/>
      <c r="M29" s="19"/>
      <c r="N29" s="19"/>
      <c r="O29" s="19"/>
      <c r="P29" s="19"/>
    </row>
    <row r="30" spans="2:16" x14ac:dyDescent="0.2">
      <c r="B30" t="s">
        <v>629</v>
      </c>
      <c r="C30" t="s">
        <v>376</v>
      </c>
      <c r="D30" s="18">
        <v>42341.621261574073</v>
      </c>
      <c r="E30" t="s">
        <v>184</v>
      </c>
      <c r="F30" s="19">
        <v>0.97598645352175517</v>
      </c>
      <c r="G30" s="19">
        <v>0.96205179282868525</v>
      </c>
      <c r="H30" s="19">
        <v>0.91863578374431909</v>
      </c>
      <c r="I30" s="19">
        <v>3.9118647441663656E-2</v>
      </c>
      <c r="J30" s="19">
        <v>0.9200361352064137</v>
      </c>
      <c r="K30" s="19">
        <v>4.5700383985787379E-2</v>
      </c>
      <c r="L30" s="19"/>
      <c r="M30" s="19"/>
      <c r="N30" s="19"/>
      <c r="O30" s="19"/>
      <c r="P30" s="19"/>
    </row>
    <row r="31" spans="2:16" x14ac:dyDescent="0.2">
      <c r="B31" t="s">
        <v>622</v>
      </c>
      <c r="C31" t="s">
        <v>411</v>
      </c>
      <c r="D31" s="18">
        <v>42341.621261574073</v>
      </c>
      <c r="E31" t="s">
        <v>182</v>
      </c>
      <c r="F31" s="19">
        <v>0.95370319603320297</v>
      </c>
      <c r="G31" s="19">
        <v>0.8408588435374148</v>
      </c>
      <c r="H31" s="19">
        <v>0.92299565469536649</v>
      </c>
      <c r="I31" s="19">
        <v>4.5092708955785883E-2</v>
      </c>
      <c r="J31" s="19">
        <v>0.96876750700280112</v>
      </c>
      <c r="K31" s="19">
        <v>2.6766846514651946E-2</v>
      </c>
      <c r="L31" s="19"/>
      <c r="M31" s="19"/>
      <c r="N31" s="19"/>
      <c r="O31" s="19"/>
      <c r="P31" s="19"/>
    </row>
    <row r="32" spans="2:16" x14ac:dyDescent="0.2">
      <c r="B32" t="s">
        <v>397</v>
      </c>
      <c r="C32" t="s">
        <v>397</v>
      </c>
      <c r="D32" s="18">
        <v>42341.621261574073</v>
      </c>
      <c r="E32" t="s">
        <v>670</v>
      </c>
      <c r="F32" s="19">
        <v>0.96684039723875392</v>
      </c>
      <c r="G32" s="19">
        <v>0.92655215029785398</v>
      </c>
      <c r="H32" s="19">
        <v>0.92980415122527094</v>
      </c>
      <c r="I32" s="19">
        <v>1.2872051473967758E-2</v>
      </c>
      <c r="J32" s="19">
        <v>0.90113622110876546</v>
      </c>
      <c r="K32" s="19">
        <v>2.1161209570782803E-2</v>
      </c>
      <c r="L32" s="19"/>
      <c r="M32" s="19"/>
      <c r="N32" s="19"/>
      <c r="O32" s="19"/>
      <c r="P32" s="19"/>
    </row>
    <row r="33" spans="2:16" x14ac:dyDescent="0.2">
      <c r="B33" t="s">
        <v>215</v>
      </c>
      <c r="C33" t="s">
        <v>397</v>
      </c>
      <c r="D33" s="18">
        <v>42341.621261574073</v>
      </c>
      <c r="E33" t="s">
        <v>163</v>
      </c>
      <c r="F33" s="19">
        <v>0.98941997448788155</v>
      </c>
      <c r="G33" s="19">
        <v>0.95849126034958598</v>
      </c>
      <c r="H33" s="19">
        <v>0.9642080027710368</v>
      </c>
      <c r="I33" s="19">
        <v>3.6162795803033491E-2</v>
      </c>
      <c r="J33" s="19">
        <v>0.91316948469313397</v>
      </c>
      <c r="K33" s="19">
        <v>5.1261296489590012E-2</v>
      </c>
      <c r="L33" s="19">
        <v>0.96253269998623159</v>
      </c>
      <c r="M33" s="19">
        <v>0.94221226803333591</v>
      </c>
      <c r="N33" s="19">
        <v>3.6706185296664702E-2</v>
      </c>
      <c r="O33" s="19">
        <v>0.97672108188542173</v>
      </c>
      <c r="P33" s="19">
        <v>2.2376663278575463E-2</v>
      </c>
    </row>
    <row r="34" spans="2:16" x14ac:dyDescent="0.2">
      <c r="B34" t="s">
        <v>578</v>
      </c>
      <c r="C34" t="s">
        <v>397</v>
      </c>
      <c r="D34" s="18">
        <v>42341.621261574073</v>
      </c>
      <c r="E34" t="s">
        <v>163</v>
      </c>
      <c r="F34" s="19">
        <v>0.98941997448788155</v>
      </c>
      <c r="G34" s="19">
        <v>0.95849126034958598</v>
      </c>
      <c r="H34" s="19">
        <v>0.9642080027710368</v>
      </c>
      <c r="I34" s="19">
        <v>3.6162795803033491E-2</v>
      </c>
      <c r="J34" s="19">
        <v>0.91316948469313397</v>
      </c>
      <c r="K34" s="19">
        <v>5.1261296489590012E-2</v>
      </c>
      <c r="L34" s="19">
        <v>0.96253269998623159</v>
      </c>
      <c r="M34" s="19">
        <v>0.94221226803333591</v>
      </c>
      <c r="N34" s="19">
        <v>3.6706185296664702E-2</v>
      </c>
      <c r="O34" s="19">
        <v>0.97672108188542173</v>
      </c>
      <c r="P34" s="19">
        <v>2.2376663278575463E-2</v>
      </c>
    </row>
    <row r="35" spans="2:16" x14ac:dyDescent="0.2">
      <c r="B35" t="s">
        <v>560</v>
      </c>
      <c r="C35" t="s">
        <v>387</v>
      </c>
      <c r="D35" s="18">
        <v>42341.621261574073</v>
      </c>
      <c r="E35" t="s">
        <v>156</v>
      </c>
      <c r="F35" s="19">
        <v>0.90782854310901029</v>
      </c>
      <c r="G35" s="19">
        <v>0.80980812725111617</v>
      </c>
      <c r="H35" s="19">
        <v>0.91282123763926148</v>
      </c>
      <c r="I35" s="19">
        <v>4.051625092545507E-2</v>
      </c>
      <c r="J35" s="19">
        <v>0.92812554962532301</v>
      </c>
      <c r="K35" s="19">
        <v>3.7330799043784356E-2</v>
      </c>
      <c r="L35" s="19"/>
      <c r="M35" s="19"/>
      <c r="N35" s="19"/>
      <c r="O35" s="19"/>
      <c r="P35" s="19"/>
    </row>
    <row r="36" spans="2:16" x14ac:dyDescent="0.2">
      <c r="B36" t="s">
        <v>616</v>
      </c>
      <c r="C36" t="s">
        <v>392</v>
      </c>
      <c r="D36" s="18">
        <v>42341.621261574073</v>
      </c>
      <c r="E36" t="s">
        <v>179</v>
      </c>
      <c r="F36" s="19">
        <v>0.94445953426324802</v>
      </c>
      <c r="G36" s="19">
        <v>0.85680867187242593</v>
      </c>
      <c r="H36" s="19">
        <v>0.9161284536311094</v>
      </c>
      <c r="I36" s="19">
        <v>4.7728729449518427E-2</v>
      </c>
      <c r="J36" s="19">
        <v>0.96342323682591147</v>
      </c>
      <c r="K36" s="19">
        <v>3.7391960789688101E-2</v>
      </c>
      <c r="L36" s="19"/>
      <c r="M36" s="19"/>
      <c r="N36" s="19"/>
      <c r="O36" s="19"/>
      <c r="P36" s="19"/>
    </row>
    <row r="37" spans="2:16" x14ac:dyDescent="0.2">
      <c r="B37" t="s">
        <v>556</v>
      </c>
      <c r="C37" t="s">
        <v>387</v>
      </c>
      <c r="D37" s="18">
        <v>42341.621261574073</v>
      </c>
      <c r="E37" t="s">
        <v>94</v>
      </c>
      <c r="F37" s="19">
        <v>0.99125197740692406</v>
      </c>
      <c r="G37" s="19">
        <v>1</v>
      </c>
      <c r="H37" s="19">
        <v>0.94692961359628025</v>
      </c>
      <c r="I37" s="19">
        <v>3.3698689816281518E-2</v>
      </c>
      <c r="J37" s="19">
        <v>0.94013512206913208</v>
      </c>
      <c r="K37" s="19">
        <v>3.6686146156928029E-2</v>
      </c>
      <c r="L37" s="19"/>
      <c r="M37" s="19"/>
      <c r="N37" s="19"/>
      <c r="O37" s="19"/>
      <c r="P37" s="19"/>
    </row>
    <row r="38" spans="2:16" x14ac:dyDescent="0.2">
      <c r="B38" t="s">
        <v>558</v>
      </c>
      <c r="C38" t="s">
        <v>392</v>
      </c>
      <c r="D38" s="18">
        <v>42341.621261574073</v>
      </c>
      <c r="E38" t="s">
        <v>155</v>
      </c>
      <c r="F38" s="19">
        <v>0.98741815019862156</v>
      </c>
      <c r="G38" s="19">
        <v>1</v>
      </c>
      <c r="H38" s="19">
        <v>0.92552007110479662</v>
      </c>
      <c r="I38" s="19">
        <v>4.0488050389170811E-2</v>
      </c>
      <c r="J38" s="19">
        <v>0.94136270421399226</v>
      </c>
      <c r="K38" s="19">
        <v>3.6028803011477845E-2</v>
      </c>
      <c r="L38" s="19"/>
      <c r="M38" s="19"/>
      <c r="N38" s="19"/>
      <c r="O38" s="19"/>
      <c r="P38" s="19"/>
    </row>
    <row r="39" spans="2:16" x14ac:dyDescent="0.2">
      <c r="B39" t="s">
        <v>525</v>
      </c>
      <c r="C39" t="s">
        <v>376</v>
      </c>
      <c r="D39" s="18">
        <v>42341.621261574073</v>
      </c>
      <c r="E39" t="s">
        <v>144</v>
      </c>
      <c r="F39" s="19">
        <v>0.95009146915606246</v>
      </c>
      <c r="G39" s="19">
        <v>0.85112592325707082</v>
      </c>
      <c r="H39" s="19">
        <v>0.89898706077767865</v>
      </c>
      <c r="I39" s="19">
        <v>4.752568567591986E-2</v>
      </c>
      <c r="J39" s="19">
        <v>0.92776992820595927</v>
      </c>
      <c r="K39" s="19">
        <v>4.0318412272002606E-2</v>
      </c>
      <c r="L39" s="19"/>
      <c r="M39" s="19"/>
      <c r="N39" s="19"/>
      <c r="O39" s="19"/>
      <c r="P39" s="19"/>
    </row>
    <row r="40" spans="2:16" x14ac:dyDescent="0.2">
      <c r="B40" t="s">
        <v>531</v>
      </c>
      <c r="C40" t="s">
        <v>376</v>
      </c>
      <c r="D40" s="18">
        <v>42341.621261574073</v>
      </c>
      <c r="E40" t="s">
        <v>147</v>
      </c>
      <c r="F40" s="19">
        <v>0.96757826723070706</v>
      </c>
      <c r="G40" s="19">
        <v>0.93652447089947088</v>
      </c>
      <c r="H40" s="19">
        <v>0.89573728179059775</v>
      </c>
      <c r="I40" s="19">
        <v>4.1087996608787376E-2</v>
      </c>
      <c r="J40" s="19">
        <v>0.87758619381468317</v>
      </c>
      <c r="K40" s="19">
        <v>4.8405400501336189E-2</v>
      </c>
      <c r="L40" s="19"/>
      <c r="M40" s="19"/>
      <c r="N40" s="19"/>
      <c r="O40" s="19"/>
      <c r="P40" s="19"/>
    </row>
    <row r="41" spans="2:16" x14ac:dyDescent="0.2">
      <c r="B41" t="s">
        <v>376</v>
      </c>
      <c r="C41" t="s">
        <v>376</v>
      </c>
      <c r="D41" s="18">
        <v>42341.621261574073</v>
      </c>
      <c r="E41" t="s">
        <v>669</v>
      </c>
      <c r="F41" s="19">
        <v>0.96509265269579259</v>
      </c>
      <c r="G41" s="19">
        <v>0.88915597034621041</v>
      </c>
      <c r="H41" s="19">
        <v>0.87230660699508245</v>
      </c>
      <c r="I41" s="19">
        <v>1.6710481666821906E-2</v>
      </c>
      <c r="J41" s="19">
        <v>0.89276885898611813</v>
      </c>
      <c r="K41" s="19">
        <v>1.6002069137405997E-2</v>
      </c>
      <c r="L41" s="19"/>
      <c r="M41" s="19"/>
      <c r="N41" s="19"/>
      <c r="O41" s="19"/>
      <c r="P41" s="19"/>
    </row>
    <row r="42" spans="2:16" x14ac:dyDescent="0.2">
      <c r="B42" t="s">
        <v>598</v>
      </c>
      <c r="C42" t="s">
        <v>411</v>
      </c>
      <c r="D42" s="18">
        <v>42341.621261574073</v>
      </c>
      <c r="E42" t="s">
        <v>171</v>
      </c>
      <c r="F42" s="19">
        <v>0.95872343265060767</v>
      </c>
      <c r="G42" s="19">
        <v>0.90430828465215085</v>
      </c>
      <c r="H42" s="19">
        <v>0.95367763284673945</v>
      </c>
      <c r="I42" s="19">
        <v>3.2845586498638751E-2</v>
      </c>
      <c r="J42" s="19">
        <v>0.90490862624473334</v>
      </c>
      <c r="K42" s="19">
        <v>4.9994731108768065E-2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42341.621261574073</v>
      </c>
      <c r="E44" t="s">
        <v>672</v>
      </c>
      <c r="F44" s="19">
        <v>0.9606735225859856</v>
      </c>
      <c r="G44" s="19">
        <v>0.89780811765067081</v>
      </c>
      <c r="H44" s="19">
        <v>0.90997626413136645</v>
      </c>
      <c r="I44" s="19">
        <v>1.5736762345191835E-2</v>
      </c>
      <c r="J44" s="19">
        <v>0.93320499240597188</v>
      </c>
      <c r="K44" s="19">
        <v>1.540544509893536E-2</v>
      </c>
      <c r="L44" s="19"/>
      <c r="M44" s="19"/>
      <c r="N44" s="19"/>
      <c r="O44" s="19"/>
      <c r="P44" s="19"/>
    </row>
    <row r="45" spans="2:16" x14ac:dyDescent="0.2">
      <c r="B45" t="s">
        <v>216</v>
      </c>
      <c r="C45" t="s">
        <v>376</v>
      </c>
      <c r="D45" s="18">
        <v>42341.621261574073</v>
      </c>
      <c r="E45" t="s">
        <v>102</v>
      </c>
      <c r="F45" s="19">
        <v>0.93158721710409353</v>
      </c>
      <c r="G45" s="19">
        <v>0.85729969251431404</v>
      </c>
      <c r="H45" s="19">
        <v>0.85304537237291767</v>
      </c>
      <c r="I45" s="19">
        <v>5.1664924235531796E-2</v>
      </c>
      <c r="J45" s="19">
        <v>0.89614431336532274</v>
      </c>
      <c r="K45" s="19">
        <v>5.0575399016445033E-2</v>
      </c>
      <c r="L45" s="19">
        <v>0.91336575930824593</v>
      </c>
      <c r="M45" s="19">
        <v>0.93702961093243231</v>
      </c>
      <c r="N45" s="19">
        <v>4.0278478343888792E-2</v>
      </c>
      <c r="O45" s="19">
        <v>0.92517387991315747</v>
      </c>
      <c r="P45" s="19">
        <v>4.8773435007311787E-2</v>
      </c>
    </row>
    <row r="46" spans="2:16" x14ac:dyDescent="0.2">
      <c r="B46" t="s">
        <v>533</v>
      </c>
      <c r="C46" t="s">
        <v>376</v>
      </c>
      <c r="D46" s="18">
        <v>42341.621261574073</v>
      </c>
      <c r="E46" t="s">
        <v>102</v>
      </c>
      <c r="F46" s="19">
        <v>0.93158721710409353</v>
      </c>
      <c r="G46" s="19">
        <v>0.85729969251431404</v>
      </c>
      <c r="H46" s="19">
        <v>0.85304537237291767</v>
      </c>
      <c r="I46" s="19">
        <v>5.1664924235531796E-2</v>
      </c>
      <c r="J46" s="19">
        <v>0.89614431336532274</v>
      </c>
      <c r="K46" s="19">
        <v>5.0575399016445033E-2</v>
      </c>
      <c r="L46" s="19">
        <v>0.91336575930824593</v>
      </c>
      <c r="M46" s="19">
        <v>0.93702961093243231</v>
      </c>
      <c r="N46" s="19">
        <v>4.0278478343888792E-2</v>
      </c>
      <c r="O46" s="19">
        <v>0.92517387991315747</v>
      </c>
      <c r="P46" s="19">
        <v>4.8773435007311787E-2</v>
      </c>
    </row>
    <row r="47" spans="2:16" x14ac:dyDescent="0.2">
      <c r="B47" t="s">
        <v>602</v>
      </c>
      <c r="C47" t="s">
        <v>411</v>
      </c>
      <c r="D47" s="18">
        <v>42341.621261574073</v>
      </c>
      <c r="E47" t="s">
        <v>173</v>
      </c>
      <c r="F47" s="19">
        <v>0.89835964000294066</v>
      </c>
      <c r="G47" s="19">
        <v>0.83413043478260851</v>
      </c>
      <c r="H47" s="19">
        <v>0.89795762305839988</v>
      </c>
      <c r="I47" s="19">
        <v>5.0200223164515737E-2</v>
      </c>
      <c r="J47" s="19">
        <v>0.93030450658106023</v>
      </c>
      <c r="K47" s="19">
        <v>4.2862979200929061E-2</v>
      </c>
      <c r="L47" s="19"/>
      <c r="M47" s="19"/>
      <c r="N47" s="19"/>
      <c r="O47" s="19"/>
      <c r="P47" s="19"/>
    </row>
    <row r="48" spans="2:16" x14ac:dyDescent="0.2">
      <c r="B48" t="s">
        <v>536</v>
      </c>
      <c r="C48" t="s">
        <v>376</v>
      </c>
      <c r="D48" s="18">
        <v>42341.621261574073</v>
      </c>
      <c r="E48" t="s">
        <v>148</v>
      </c>
      <c r="F48" s="19">
        <v>0.93728469047914409</v>
      </c>
      <c r="G48" s="19">
        <v>0.91372282608695632</v>
      </c>
      <c r="H48" s="19">
        <v>0.90225378361763986</v>
      </c>
      <c r="I48" s="19">
        <v>4.6078091657013973E-2</v>
      </c>
      <c r="J48" s="19">
        <v>0.90688082335323483</v>
      </c>
      <c r="K48" s="19">
        <v>5.8149289913883774E-2</v>
      </c>
      <c r="L48" s="19"/>
      <c r="M48" s="19"/>
      <c r="N48" s="19"/>
      <c r="O48" s="19"/>
      <c r="P48" s="19"/>
    </row>
    <row r="49" spans="2:16" x14ac:dyDescent="0.2">
      <c r="B49" t="s">
        <v>610</v>
      </c>
      <c r="C49" t="s">
        <v>411</v>
      </c>
      <c r="D49" s="18">
        <v>42341.621261574073</v>
      </c>
      <c r="E49" t="s">
        <v>176</v>
      </c>
      <c r="F49" s="19">
        <v>0.87545183269280857</v>
      </c>
      <c r="G49" s="19">
        <v>0.80649463225978524</v>
      </c>
      <c r="H49" s="19">
        <v>0.91344284854218638</v>
      </c>
      <c r="I49" s="19">
        <v>4.6259287447189192E-2</v>
      </c>
      <c r="J49" s="19">
        <v>0.93937304055244819</v>
      </c>
      <c r="K49" s="19">
        <v>4.0804785144557557E-2</v>
      </c>
      <c r="L49" s="19"/>
      <c r="M49" s="19"/>
      <c r="N49" s="19"/>
      <c r="O49" s="19"/>
      <c r="P49" s="19"/>
    </row>
    <row r="50" spans="2:16" x14ac:dyDescent="0.2">
      <c r="B50" t="s">
        <v>521</v>
      </c>
      <c r="C50" t="s">
        <v>376</v>
      </c>
      <c r="D50" s="18">
        <v>42341.621261574073</v>
      </c>
      <c r="E50" t="s">
        <v>143</v>
      </c>
      <c r="F50" s="19">
        <v>0.97911338991892494</v>
      </c>
      <c r="G50" s="19">
        <v>0.89053124542660622</v>
      </c>
      <c r="H50" s="19">
        <v>0.86018663386136851</v>
      </c>
      <c r="I50" s="19">
        <v>6.1464620544372295E-2</v>
      </c>
      <c r="J50" s="19">
        <v>0.96005313597115471</v>
      </c>
      <c r="K50" s="19">
        <v>3.2610188355958414E-2</v>
      </c>
      <c r="L50" s="19"/>
      <c r="M50" s="19"/>
      <c r="N50" s="19"/>
      <c r="O50" s="19"/>
      <c r="P50" s="19"/>
    </row>
    <row r="51" spans="2:16" x14ac:dyDescent="0.2">
      <c r="B51" t="s">
        <v>618</v>
      </c>
      <c r="C51" t="s">
        <v>411</v>
      </c>
      <c r="D51" s="18">
        <v>42341.621261574073</v>
      </c>
      <c r="E51" t="s">
        <v>180</v>
      </c>
      <c r="F51" s="19">
        <v>0.92944102133246653</v>
      </c>
      <c r="G51" s="19">
        <v>0.86590980763166203</v>
      </c>
      <c r="H51" s="19">
        <v>0.89392770068376382</v>
      </c>
      <c r="I51" s="19">
        <v>5.1498179183372204E-2</v>
      </c>
      <c r="J51" s="19">
        <v>0.96184654957153914</v>
      </c>
      <c r="K51" s="19">
        <v>2.7960302638344387E-2</v>
      </c>
      <c r="L51" s="19"/>
      <c r="M51" s="19"/>
      <c r="N51" s="19"/>
      <c r="O51" s="19"/>
      <c r="P51" s="19"/>
    </row>
    <row r="52" spans="2:16" x14ac:dyDescent="0.2">
      <c r="B52" t="s">
        <v>542</v>
      </c>
      <c r="C52" t="s">
        <v>376</v>
      </c>
      <c r="D52" s="18">
        <v>42341.621261574073</v>
      </c>
      <c r="E52" t="s">
        <v>108</v>
      </c>
      <c r="F52" s="19">
        <v>0.97291607013525128</v>
      </c>
      <c r="G52" s="19">
        <v>0.88675258821043745</v>
      </c>
      <c r="H52" s="19">
        <v>0.91133575615934925</v>
      </c>
      <c r="I52" s="19">
        <v>4.6944990940559352E-2</v>
      </c>
      <c r="J52" s="19">
        <v>0.90729634074541965</v>
      </c>
      <c r="K52" s="19">
        <v>4.4813108918778252E-2</v>
      </c>
      <c r="L52" s="19"/>
      <c r="M52" s="19"/>
      <c r="N52" s="19"/>
      <c r="O52" s="19"/>
      <c r="P52" s="19"/>
    </row>
    <row r="53" spans="2:16" x14ac:dyDescent="0.2">
      <c r="B53" t="s">
        <v>595</v>
      </c>
      <c r="C53" t="s">
        <v>392</v>
      </c>
      <c r="D53" s="18">
        <v>42341.621261574073</v>
      </c>
      <c r="E53" t="s">
        <v>170</v>
      </c>
      <c r="F53" s="19">
        <v>0.97898179731307011</v>
      </c>
      <c r="G53" s="19">
        <v>0.92264567058969016</v>
      </c>
      <c r="H53" s="19">
        <v>0.91106813531769393</v>
      </c>
      <c r="I53" s="19">
        <v>4.2454412225569914E-2</v>
      </c>
      <c r="J53" s="19">
        <v>0.95041237925756894</v>
      </c>
      <c r="K53" s="19">
        <v>3.32471095654207E-2</v>
      </c>
      <c r="L53" s="253"/>
      <c r="M53" s="253"/>
      <c r="N53" s="253"/>
      <c r="O53" s="253"/>
      <c r="P53" s="253"/>
    </row>
    <row r="54" spans="2:16" x14ac:dyDescent="0.2">
      <c r="B54" t="s">
        <v>631</v>
      </c>
      <c r="C54" t="s">
        <v>411</v>
      </c>
      <c r="D54" s="18">
        <v>42341.621261574073</v>
      </c>
      <c r="E54" t="s">
        <v>185</v>
      </c>
      <c r="F54" s="19">
        <v>0.98215936563206341</v>
      </c>
      <c r="G54" s="19">
        <v>0.88796480964410762</v>
      </c>
      <c r="H54" s="19">
        <v>0.8942016029939428</v>
      </c>
      <c r="I54" s="19">
        <v>4.1267341620044889E-2</v>
      </c>
      <c r="J54" s="19">
        <v>0.93630090910838193</v>
      </c>
      <c r="K54" s="19">
        <v>4.2252345196873618E-2</v>
      </c>
      <c r="L54" s="19"/>
      <c r="M54" s="19"/>
      <c r="N54" s="19"/>
      <c r="O54" s="19"/>
      <c r="P54" s="19"/>
    </row>
    <row r="55" spans="2:16" x14ac:dyDescent="0.2">
      <c r="B55" t="s">
        <v>620</v>
      </c>
      <c r="C55" t="s">
        <v>387</v>
      </c>
      <c r="D55" s="18">
        <v>42341.621261574073</v>
      </c>
      <c r="E55" t="s">
        <v>181</v>
      </c>
      <c r="F55" s="19">
        <v>0.94577280539001507</v>
      </c>
      <c r="G55" s="19">
        <v>0.91805247597930528</v>
      </c>
      <c r="H55" s="19">
        <v>0.87678924925245982</v>
      </c>
      <c r="I55" s="19">
        <v>4.8659170819396566E-2</v>
      </c>
      <c r="J55" s="19">
        <v>0.8763227054819519</v>
      </c>
      <c r="K55" s="19">
        <v>5.4941531152799428E-2</v>
      </c>
      <c r="L55" s="19"/>
      <c r="M55" s="19"/>
      <c r="N55" s="19"/>
      <c r="O55" s="19"/>
      <c r="P55" s="19"/>
    </row>
    <row r="56" spans="2:16" x14ac:dyDescent="0.2">
      <c r="B56" t="s">
        <v>604</v>
      </c>
      <c r="C56" t="s">
        <v>411</v>
      </c>
      <c r="D56" s="18">
        <v>42341.621261574073</v>
      </c>
      <c r="E56" t="s">
        <v>174</v>
      </c>
      <c r="F56" s="19">
        <v>0.96948861645316431</v>
      </c>
      <c r="G56" s="19">
        <v>0.93458435941837303</v>
      </c>
      <c r="H56" s="19">
        <v>0.91924964129951037</v>
      </c>
      <c r="I56" s="19">
        <v>3.9323704963684064E-2</v>
      </c>
      <c r="J56" s="19">
        <v>0.94758363086530517</v>
      </c>
      <c r="K56" s="19">
        <v>3.6159772089332305E-2</v>
      </c>
      <c r="L56" s="19"/>
      <c r="M56" s="19"/>
      <c r="N56" s="19"/>
      <c r="O56" s="19"/>
      <c r="P56" s="19"/>
    </row>
    <row r="57" spans="2:16" x14ac:dyDescent="0.2">
      <c r="B57" t="s">
        <v>642</v>
      </c>
      <c r="C57" t="s">
        <v>397</v>
      </c>
      <c r="D57" s="18">
        <v>42341.621261574073</v>
      </c>
      <c r="E57" t="s">
        <v>190</v>
      </c>
      <c r="F57" s="19">
        <v>0.90680323854578038</v>
      </c>
      <c r="G57" s="19">
        <v>0.93943661971830972</v>
      </c>
      <c r="H57" s="19">
        <v>0.93983279607935633</v>
      </c>
      <c r="I57" s="19">
        <v>3.8676660893616557E-2</v>
      </c>
      <c r="J57" s="19">
        <v>0.94049733292989512</v>
      </c>
      <c r="K57" s="19">
        <v>3.5551590144124887E-2</v>
      </c>
      <c r="L57" s="19"/>
      <c r="M57" s="19"/>
      <c r="N57" s="19"/>
      <c r="O57" s="19"/>
      <c r="P57" s="19"/>
    </row>
    <row r="58" spans="2:16" x14ac:dyDescent="0.2">
      <c r="B58" t="s">
        <v>387</v>
      </c>
      <c r="C58" t="s">
        <v>387</v>
      </c>
      <c r="D58" s="18">
        <v>42341.621261574073</v>
      </c>
      <c r="E58" t="s">
        <v>668</v>
      </c>
      <c r="F58" s="19">
        <v>0.9540171679183187</v>
      </c>
      <c r="G58" s="19">
        <v>0.89905561983626436</v>
      </c>
      <c r="H58" s="19">
        <v>0.9032550768384604</v>
      </c>
      <c r="I58" s="19">
        <v>2.0701683468708723E-2</v>
      </c>
      <c r="J58" s="19">
        <v>0.88843535928602924</v>
      </c>
      <c r="K58" s="19">
        <v>2.6726023570885004E-2</v>
      </c>
      <c r="L58" s="19"/>
      <c r="M58" s="19"/>
      <c r="N58" s="19"/>
      <c r="O58" s="19"/>
      <c r="P58" s="19"/>
    </row>
    <row r="59" spans="2:16" x14ac:dyDescent="0.2">
      <c r="B59" t="s">
        <v>581</v>
      </c>
      <c r="C59" t="s">
        <v>397</v>
      </c>
      <c r="D59" s="18">
        <v>42341.621261574073</v>
      </c>
      <c r="E59" t="s">
        <v>164</v>
      </c>
      <c r="F59" s="19">
        <v>0.97819255219684886</v>
      </c>
      <c r="G59" s="19">
        <v>0.97728089080459768</v>
      </c>
      <c r="H59" s="19">
        <v>0.91517588950955475</v>
      </c>
      <c r="I59" s="19">
        <v>4.1713960140686838E-2</v>
      </c>
      <c r="J59" s="19">
        <v>0.86862734872176806</v>
      </c>
      <c r="K59" s="19">
        <v>5.4134496647627726E-2</v>
      </c>
      <c r="L59" s="19"/>
      <c r="M59" s="19"/>
      <c r="N59" s="19"/>
      <c r="O59" s="19"/>
      <c r="P59" s="19"/>
    </row>
    <row r="60" spans="2:16" x14ac:dyDescent="0.2">
      <c r="B60" t="s">
        <v>218</v>
      </c>
      <c r="C60" t="s">
        <v>397</v>
      </c>
      <c r="D60" s="18">
        <v>42341.621261574073</v>
      </c>
      <c r="E60" t="s">
        <v>167</v>
      </c>
      <c r="F60" s="19">
        <v>0.97006594274063507</v>
      </c>
      <c r="G60" s="19">
        <v>0.90994507993143747</v>
      </c>
      <c r="H60" s="19">
        <v>0.94086263511539581</v>
      </c>
      <c r="I60" s="19">
        <v>3.713222780548172E-2</v>
      </c>
      <c r="J60" s="19">
        <v>0.86939364410590736</v>
      </c>
      <c r="K60" s="19">
        <v>5.9429506614925388E-2</v>
      </c>
      <c r="L60" s="19">
        <v>1</v>
      </c>
      <c r="M60" s="19">
        <v>0.99181176584824771</v>
      </c>
      <c r="N60" s="19">
        <v>9.8227936471293725E-3</v>
      </c>
      <c r="O60" s="19">
        <v>0.98593055566785526</v>
      </c>
      <c r="P60" s="19">
        <v>1.7221858586439681E-2</v>
      </c>
    </row>
    <row r="61" spans="2:16" x14ac:dyDescent="0.2">
      <c r="B61" t="s">
        <v>587</v>
      </c>
      <c r="C61" t="s">
        <v>397</v>
      </c>
      <c r="D61" s="18">
        <v>42341.621261574073</v>
      </c>
      <c r="E61" t="s">
        <v>167</v>
      </c>
      <c r="F61" s="19">
        <v>0.97006594274063507</v>
      </c>
      <c r="G61" s="19">
        <v>0.90994507993143747</v>
      </c>
      <c r="H61" s="19">
        <v>0.94086263511539581</v>
      </c>
      <c r="I61" s="19">
        <v>3.713222780548172E-2</v>
      </c>
      <c r="J61" s="19">
        <v>0.86939364410590736</v>
      </c>
      <c r="K61" s="19">
        <v>5.9429506614925388E-2</v>
      </c>
      <c r="L61" s="19">
        <v>1</v>
      </c>
      <c r="M61" s="19">
        <v>0.99181176584824771</v>
      </c>
      <c r="N61" s="19">
        <v>9.8227936471293725E-3</v>
      </c>
      <c r="O61" s="19">
        <v>0.98593055566785526</v>
      </c>
      <c r="P61" s="19">
        <v>1.7221858586439681E-2</v>
      </c>
    </row>
    <row r="62" spans="2:16" x14ac:dyDescent="0.2">
      <c r="B62" t="s">
        <v>548</v>
      </c>
      <c r="C62" t="s">
        <v>387</v>
      </c>
      <c r="D62" s="18">
        <v>42341.621261574073</v>
      </c>
      <c r="E62" t="s">
        <v>152</v>
      </c>
      <c r="F62" s="19">
        <v>0.93489936808977059</v>
      </c>
      <c r="G62" s="19">
        <v>0.83178447433174907</v>
      </c>
      <c r="H62" s="19">
        <v>0.86434729278091471</v>
      </c>
      <c r="I62" s="19">
        <v>5.6185236006739386E-2</v>
      </c>
      <c r="J62" s="19">
        <v>0.86782728318292934</v>
      </c>
      <c r="K62" s="19">
        <v>5.8625818620356471E-2</v>
      </c>
      <c r="L62" s="19"/>
      <c r="M62" s="19"/>
      <c r="N62" s="19"/>
      <c r="O62" s="19"/>
      <c r="P62" s="19"/>
    </row>
    <row r="63" spans="2:16" x14ac:dyDescent="0.2">
      <c r="B63" t="s">
        <v>634</v>
      </c>
      <c r="C63" t="s">
        <v>376</v>
      </c>
      <c r="D63" s="18">
        <v>42341.621261574073</v>
      </c>
      <c r="E63" t="s">
        <v>186</v>
      </c>
      <c r="F63" s="19">
        <v>0.95440717080048665</v>
      </c>
      <c r="G63" s="19">
        <v>0.85704514363885087</v>
      </c>
      <c r="H63" s="19">
        <v>0.87950874020494285</v>
      </c>
      <c r="I63" s="19">
        <v>5.7898165484844173E-2</v>
      </c>
      <c r="J63" s="19">
        <v>0.96351773426110754</v>
      </c>
      <c r="K63" s="19">
        <v>3.6233483577180439E-2</v>
      </c>
      <c r="L63" s="19"/>
      <c r="M63" s="19"/>
      <c r="N63" s="19"/>
      <c r="O63" s="19"/>
      <c r="P63" s="19"/>
    </row>
    <row r="64" spans="2:16" x14ac:dyDescent="0.2">
      <c r="B64" t="s">
        <v>703</v>
      </c>
      <c r="C64" t="s">
        <v>6</v>
      </c>
      <c r="D64" s="18">
        <v>42341.621261574073</v>
      </c>
      <c r="E64" t="s">
        <v>444</v>
      </c>
      <c r="F64" s="19"/>
      <c r="G64" s="19"/>
      <c r="H64" s="19"/>
      <c r="I64" s="19"/>
      <c r="J64" s="19"/>
      <c r="K64" s="19"/>
      <c r="L64" s="19">
        <v>0.96188671939819681</v>
      </c>
      <c r="M64" s="19">
        <v>0.95934109688177616</v>
      </c>
      <c r="N64" s="19">
        <v>1.7480490378684124E-2</v>
      </c>
      <c r="O64" s="19">
        <v>0.96265060511142908</v>
      </c>
      <c r="P64" s="19">
        <v>1.9031103282115536E-2</v>
      </c>
    </row>
    <row r="65" spans="2:16" x14ac:dyDescent="0.2">
      <c r="B65" t="s">
        <v>705</v>
      </c>
      <c r="C65" t="s">
        <v>6</v>
      </c>
      <c r="D65" s="18">
        <v>42341.621261574073</v>
      </c>
      <c r="E65" t="s">
        <v>444</v>
      </c>
      <c r="F65" s="19">
        <v>0.96302893320757221</v>
      </c>
      <c r="G65" s="19">
        <v>0.9018949024373043</v>
      </c>
      <c r="H65" s="19">
        <v>0.90319910745629872</v>
      </c>
      <c r="I65" s="19">
        <v>7.5337381709705657E-3</v>
      </c>
      <c r="J65" s="19">
        <v>0.90822738940094705</v>
      </c>
      <c r="K65" s="19">
        <v>8.8258353019992335E-3</v>
      </c>
      <c r="L65" s="19">
        <v>0.96188671939819681</v>
      </c>
      <c r="M65" s="19">
        <v>0.95934109688177616</v>
      </c>
      <c r="N65" s="19">
        <v>1.7480490378684124E-2</v>
      </c>
      <c r="O65" s="19">
        <v>0.96265060511142908</v>
      </c>
      <c r="P65" s="19">
        <v>1.9031103282115536E-2</v>
      </c>
    </row>
    <row r="66" spans="2:16" x14ac:dyDescent="0.2">
      <c r="B66" t="s">
        <v>612</v>
      </c>
      <c r="C66" t="s">
        <v>392</v>
      </c>
      <c r="D66" s="18">
        <v>42341.621261574073</v>
      </c>
      <c r="E66" t="s">
        <v>177</v>
      </c>
      <c r="F66" s="19">
        <v>0.95924775468948109</v>
      </c>
      <c r="G66" s="19">
        <v>0.85106155019756746</v>
      </c>
      <c r="H66" s="19">
        <v>0.89826633490997398</v>
      </c>
      <c r="I66" s="19">
        <v>4.4537241132193588E-2</v>
      </c>
      <c r="J66" s="19">
        <v>0.919773499910022</v>
      </c>
      <c r="K66" s="19">
        <v>4.3880963658175461E-2</v>
      </c>
      <c r="L66" s="19"/>
      <c r="M66" s="19"/>
      <c r="N66" s="19"/>
      <c r="O66" s="19"/>
      <c r="P66" s="19"/>
    </row>
    <row r="67" spans="2:16" x14ac:dyDescent="0.2">
      <c r="B67" t="s">
        <v>677</v>
      </c>
      <c r="C67" t="s">
        <v>376</v>
      </c>
      <c r="D67" s="18">
        <v>42341.621261574073</v>
      </c>
      <c r="E67" t="s">
        <v>676</v>
      </c>
      <c r="F67" s="152">
        <v>0.87286176606564958</v>
      </c>
      <c r="G67" s="152">
        <v>0.75490196078431371</v>
      </c>
      <c r="H67" s="152">
        <v>0.90510797342192706</v>
      </c>
      <c r="I67" s="152">
        <v>0.11531707483160958</v>
      </c>
      <c r="J67" s="152">
        <v>0.80777441727310906</v>
      </c>
      <c r="K67" s="152">
        <v>4.1533559192586153E-2</v>
      </c>
      <c r="L67" s="152"/>
      <c r="M67" s="152"/>
      <c r="N67" s="152"/>
      <c r="O67" s="152"/>
      <c r="P67" s="152"/>
    </row>
    <row r="68" spans="2:16" x14ac:dyDescent="0.2">
      <c r="B68" t="s">
        <v>636</v>
      </c>
      <c r="C68" t="s">
        <v>376</v>
      </c>
      <c r="D68" s="18">
        <v>42341.621261574073</v>
      </c>
      <c r="E68" t="s">
        <v>92</v>
      </c>
      <c r="F68" s="152">
        <v>0.91214507250191712</v>
      </c>
      <c r="G68" s="152">
        <v>0.90478101352900708</v>
      </c>
      <c r="H68" s="152">
        <v>0.83858473647846088</v>
      </c>
      <c r="I68" s="152">
        <v>5.2137911435447111E-2</v>
      </c>
      <c r="J68" s="152">
        <v>0.91495057932046953</v>
      </c>
      <c r="K68" s="152">
        <v>3.50815182990592E-2</v>
      </c>
      <c r="L68" s="152"/>
      <c r="M68" s="152"/>
      <c r="N68" s="152"/>
      <c r="O68" s="152"/>
      <c r="P68" s="152"/>
    </row>
    <row r="69" spans="2:16" x14ac:dyDescent="0.2">
      <c r="B69" t="s">
        <v>646</v>
      </c>
      <c r="C69" t="s">
        <v>397</v>
      </c>
      <c r="D69" s="18">
        <v>42341.621261574073</v>
      </c>
      <c r="E69" t="s">
        <v>191</v>
      </c>
      <c r="F69" s="152">
        <v>0.98584944298820443</v>
      </c>
      <c r="G69" s="152">
        <v>0.9490187398553932</v>
      </c>
      <c r="H69" s="152">
        <v>0.93113787615740717</v>
      </c>
      <c r="I69" s="152">
        <v>3.9195502513984765E-2</v>
      </c>
      <c r="J69" s="152">
        <v>0.90648773905340918</v>
      </c>
      <c r="K69" s="152">
        <v>5.7953485533716674E-2</v>
      </c>
      <c r="L69" s="152"/>
      <c r="M69" s="152"/>
      <c r="N69" s="152"/>
      <c r="O69" s="152"/>
      <c r="P69" s="152"/>
    </row>
    <row r="70" spans="2:16" x14ac:dyDescent="0.2">
      <c r="B70" t="s">
        <v>650</v>
      </c>
      <c r="C70" t="s">
        <v>376</v>
      </c>
      <c r="D70" s="18">
        <v>42341.621261574073</v>
      </c>
      <c r="E70" t="s">
        <v>193</v>
      </c>
      <c r="F70" s="152">
        <v>0.94521731616693994</v>
      </c>
      <c r="G70" s="152">
        <v>0.7981404240528327</v>
      </c>
      <c r="H70" s="152">
        <v>0.8499168612467275</v>
      </c>
      <c r="I70" s="152">
        <v>4.749099326376488E-2</v>
      </c>
      <c r="J70" s="152">
        <v>0.87817539224273178</v>
      </c>
      <c r="K70" s="152">
        <v>5.41667253402629E-2</v>
      </c>
      <c r="L70" s="152"/>
      <c r="M70" s="152"/>
      <c r="N70" s="152"/>
      <c r="O70" s="152"/>
      <c r="P70" s="152"/>
    </row>
    <row r="71" spans="2:16" x14ac:dyDescent="0.2">
      <c r="B71" t="s">
        <v>550</v>
      </c>
      <c r="C71" t="s">
        <v>376</v>
      </c>
      <c r="D71" s="18">
        <v>42341.621261574073</v>
      </c>
      <c r="E71" t="s">
        <v>153</v>
      </c>
      <c r="F71" s="152">
        <v>0.97529361743180709</v>
      </c>
      <c r="G71" s="152">
        <v>0.93181782321941364</v>
      </c>
      <c r="H71" s="152">
        <v>0.83822838995775883</v>
      </c>
      <c r="I71" s="152">
        <v>5.2545878659911976E-2</v>
      </c>
      <c r="J71" s="152">
        <v>0.94594417650063789</v>
      </c>
      <c r="K71" s="152">
        <v>3.6984565396134171E-2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390369</v>
      </c>
      <c r="D3">
        <v>414.14295923700001</v>
      </c>
      <c r="F3" t="s">
        <v>8</v>
      </c>
      <c r="G3">
        <v>10916</v>
      </c>
      <c r="P3">
        <v>10916</v>
      </c>
      <c r="Q3">
        <v>179.75387152939999</v>
      </c>
      <c r="V3" t="s">
        <v>315</v>
      </c>
      <c r="W3">
        <v>427</v>
      </c>
      <c r="X3">
        <v>291</v>
      </c>
      <c r="Y3">
        <v>343.51890034360002</v>
      </c>
      <c r="Z3">
        <v>16</v>
      </c>
      <c r="AA3">
        <v>648.25</v>
      </c>
      <c r="AB3">
        <v>80</v>
      </c>
      <c r="AC3">
        <v>565.375</v>
      </c>
      <c r="AD3">
        <v>35</v>
      </c>
      <c r="AE3">
        <v>693.71428571429999</v>
      </c>
      <c r="AF3">
        <v>20</v>
      </c>
      <c r="AG3">
        <v>200.5</v>
      </c>
      <c r="AH3">
        <v>1</v>
      </c>
      <c r="AI3">
        <v>152</v>
      </c>
      <c r="AL3" t="s">
        <v>315</v>
      </c>
      <c r="AM3">
        <v>8</v>
      </c>
      <c r="AN3">
        <v>5</v>
      </c>
      <c r="AO3">
        <v>395</v>
      </c>
      <c r="AP3">
        <v>3</v>
      </c>
      <c r="AQ3">
        <v>582.66666666670005</v>
      </c>
      <c r="AR3">
        <v>2</v>
      </c>
      <c r="AS3">
        <v>322</v>
      </c>
      <c r="AT3">
        <v>1</v>
      </c>
      <c r="AU3">
        <v>115</v>
      </c>
    </row>
    <row r="4" spans="2:51" x14ac:dyDescent="0.2">
      <c r="B4" t="s">
        <v>959</v>
      </c>
      <c r="C4">
        <v>36389</v>
      </c>
      <c r="D4">
        <v>414.14295923700001</v>
      </c>
      <c r="F4" t="s">
        <v>8</v>
      </c>
      <c r="G4">
        <v>10916</v>
      </c>
      <c r="P4">
        <v>10916</v>
      </c>
      <c r="Q4">
        <v>179.75387152939999</v>
      </c>
      <c r="V4" t="s">
        <v>8</v>
      </c>
      <c r="W4">
        <v>4751</v>
      </c>
      <c r="X4">
        <v>3541</v>
      </c>
      <c r="Y4">
        <v>440.788700565</v>
      </c>
      <c r="Z4">
        <v>406</v>
      </c>
      <c r="AA4">
        <v>442.68226600989999</v>
      </c>
      <c r="AB4">
        <v>456</v>
      </c>
      <c r="AC4">
        <v>555.05263157889999</v>
      </c>
      <c r="AD4">
        <v>706</v>
      </c>
      <c r="AE4">
        <v>827.97167138810005</v>
      </c>
      <c r="AF4">
        <v>43</v>
      </c>
      <c r="AG4">
        <v>265.09302325580001</v>
      </c>
      <c r="AH4">
        <v>5</v>
      </c>
      <c r="AI4">
        <v>403.2</v>
      </c>
      <c r="AL4" t="s">
        <v>8</v>
      </c>
      <c r="AM4">
        <v>67</v>
      </c>
      <c r="AN4">
        <v>57</v>
      </c>
      <c r="AO4">
        <v>227.50877192979999</v>
      </c>
      <c r="AP4">
        <v>9</v>
      </c>
      <c r="AQ4">
        <v>486.1111111111</v>
      </c>
      <c r="AR4">
        <v>10</v>
      </c>
      <c r="AS4">
        <v>208.9</v>
      </c>
    </row>
    <row r="5" spans="2:51" x14ac:dyDescent="0.2">
      <c r="B5" t="s">
        <v>971</v>
      </c>
      <c r="C5">
        <v>20743</v>
      </c>
      <c r="D5">
        <v>568.50060261290002</v>
      </c>
      <c r="F5" t="s">
        <v>46</v>
      </c>
      <c r="G5">
        <v>568</v>
      </c>
      <c r="H5">
        <v>468</v>
      </c>
      <c r="I5">
        <v>237.80341880340001</v>
      </c>
      <c r="J5">
        <v>27</v>
      </c>
      <c r="K5">
        <v>496.5185185185</v>
      </c>
      <c r="L5">
        <v>74</v>
      </c>
      <c r="M5">
        <v>201.83783783780001</v>
      </c>
      <c r="N5">
        <v>26</v>
      </c>
      <c r="O5">
        <v>226.6538461538</v>
      </c>
      <c r="V5" t="s">
        <v>8</v>
      </c>
      <c r="W5">
        <v>5178</v>
      </c>
      <c r="X5">
        <v>3832</v>
      </c>
      <c r="Y5">
        <v>433.40015661709998</v>
      </c>
      <c r="Z5">
        <v>422</v>
      </c>
      <c r="AA5">
        <v>450.47630331750003</v>
      </c>
      <c r="AB5">
        <v>536</v>
      </c>
      <c r="AC5">
        <v>556.59328358209996</v>
      </c>
      <c r="AD5">
        <v>741</v>
      </c>
      <c r="AE5">
        <v>821.63022941969996</v>
      </c>
      <c r="AF5">
        <v>63</v>
      </c>
      <c r="AG5">
        <v>244.5873015873</v>
      </c>
      <c r="AH5">
        <v>6</v>
      </c>
      <c r="AI5">
        <v>361.3333333333</v>
      </c>
      <c r="AL5" t="s">
        <v>8</v>
      </c>
      <c r="AM5">
        <v>75</v>
      </c>
      <c r="AN5">
        <v>62</v>
      </c>
      <c r="AO5">
        <v>241.0161290323</v>
      </c>
      <c r="AP5">
        <v>12</v>
      </c>
      <c r="AQ5">
        <v>510.25</v>
      </c>
      <c r="AR5">
        <v>12</v>
      </c>
      <c r="AS5">
        <v>227.75</v>
      </c>
      <c r="AT5">
        <v>1</v>
      </c>
      <c r="AU5">
        <v>115</v>
      </c>
    </row>
    <row r="6" spans="2:51" x14ac:dyDescent="0.2">
      <c r="B6" t="s">
        <v>247</v>
      </c>
      <c r="C6">
        <v>54502</v>
      </c>
      <c r="D6">
        <v>613.48990862719995</v>
      </c>
      <c r="F6" t="s">
        <v>40</v>
      </c>
      <c r="G6">
        <v>8071</v>
      </c>
      <c r="H6">
        <v>6191</v>
      </c>
      <c r="I6">
        <v>442.89727023099999</v>
      </c>
      <c r="J6">
        <v>200</v>
      </c>
      <c r="K6">
        <v>920.57</v>
      </c>
      <c r="L6">
        <v>1309</v>
      </c>
      <c r="M6">
        <v>570.50343773869997</v>
      </c>
      <c r="N6">
        <v>551</v>
      </c>
      <c r="O6">
        <v>617.56261343009999</v>
      </c>
      <c r="R6">
        <v>20</v>
      </c>
      <c r="S6">
        <v>674.6</v>
      </c>
      <c r="V6" t="s">
        <v>406</v>
      </c>
      <c r="W6">
        <v>1206</v>
      </c>
      <c r="X6">
        <v>602</v>
      </c>
      <c r="Y6">
        <v>174.5514950166</v>
      </c>
      <c r="Z6">
        <v>248</v>
      </c>
      <c r="AA6">
        <v>277.64919354839998</v>
      </c>
      <c r="AB6">
        <v>405</v>
      </c>
      <c r="AC6">
        <v>275.2271604938</v>
      </c>
      <c r="AD6">
        <v>119</v>
      </c>
      <c r="AE6">
        <v>296.38655462179997</v>
      </c>
      <c r="AF6">
        <v>78</v>
      </c>
      <c r="AG6">
        <v>172</v>
      </c>
      <c r="AH6">
        <v>2</v>
      </c>
      <c r="AI6">
        <v>259.5</v>
      </c>
      <c r="AL6" t="s">
        <v>406</v>
      </c>
      <c r="AM6">
        <v>27</v>
      </c>
      <c r="AN6">
        <v>15</v>
      </c>
      <c r="AO6">
        <v>142.80000000000001</v>
      </c>
      <c r="AP6">
        <v>13</v>
      </c>
      <c r="AQ6">
        <v>200</v>
      </c>
      <c r="AR6">
        <v>8</v>
      </c>
      <c r="AS6">
        <v>221.125</v>
      </c>
      <c r="AT6">
        <v>4</v>
      </c>
      <c r="AU6">
        <v>102.5</v>
      </c>
    </row>
    <row r="7" spans="2:51" x14ac:dyDescent="0.2">
      <c r="B7" t="s">
        <v>246</v>
      </c>
      <c r="C7">
        <v>233676</v>
      </c>
      <c r="D7">
        <v>396.59235404380001</v>
      </c>
      <c r="F7" t="s">
        <v>45</v>
      </c>
      <c r="G7">
        <v>5700</v>
      </c>
      <c r="H7">
        <v>4096</v>
      </c>
      <c r="I7">
        <v>396.7744140625</v>
      </c>
      <c r="J7">
        <v>787</v>
      </c>
      <c r="K7">
        <v>471.61245235069998</v>
      </c>
      <c r="L7">
        <v>1007</v>
      </c>
      <c r="M7">
        <v>641.15590863950001</v>
      </c>
      <c r="N7">
        <v>591</v>
      </c>
      <c r="O7">
        <v>419.63113367170001</v>
      </c>
      <c r="R7">
        <v>6</v>
      </c>
      <c r="S7">
        <v>629.33333333329995</v>
      </c>
      <c r="V7" t="s">
        <v>398</v>
      </c>
      <c r="W7">
        <v>13826</v>
      </c>
      <c r="X7">
        <v>10088</v>
      </c>
      <c r="Y7">
        <v>635.513183981</v>
      </c>
      <c r="Z7">
        <v>410</v>
      </c>
      <c r="AA7">
        <v>1212.9951219512</v>
      </c>
      <c r="AB7">
        <v>2648</v>
      </c>
      <c r="AC7">
        <v>1329.7858761329001</v>
      </c>
      <c r="AD7">
        <v>880</v>
      </c>
      <c r="AE7">
        <v>848.43977272730001</v>
      </c>
      <c r="AF7">
        <v>187</v>
      </c>
      <c r="AG7">
        <v>247.91978609629999</v>
      </c>
      <c r="AH7">
        <v>23</v>
      </c>
      <c r="AI7">
        <v>679.17391304349997</v>
      </c>
      <c r="AL7" t="s">
        <v>398</v>
      </c>
      <c r="AM7">
        <v>410</v>
      </c>
      <c r="AN7">
        <v>333</v>
      </c>
      <c r="AO7">
        <v>544.60660660660005</v>
      </c>
      <c r="AP7">
        <v>33</v>
      </c>
      <c r="AQ7">
        <v>922.78787878790001</v>
      </c>
      <c r="AR7">
        <v>74</v>
      </c>
      <c r="AS7">
        <v>573.82432432430005</v>
      </c>
      <c r="AT7">
        <v>3</v>
      </c>
      <c r="AU7">
        <v>210</v>
      </c>
    </row>
    <row r="8" spans="2:51" x14ac:dyDescent="0.2">
      <c r="B8" t="s">
        <v>248</v>
      </c>
      <c r="C8">
        <v>25032</v>
      </c>
      <c r="D8">
        <v>515.49814200660001</v>
      </c>
      <c r="F8" t="s">
        <v>53</v>
      </c>
      <c r="G8">
        <v>1152</v>
      </c>
      <c r="H8">
        <v>332</v>
      </c>
      <c r="I8">
        <v>100.5602409639</v>
      </c>
      <c r="J8">
        <v>355</v>
      </c>
      <c r="K8">
        <v>202.13802816899999</v>
      </c>
      <c r="L8">
        <v>583</v>
      </c>
      <c r="M8">
        <v>225.32590051459999</v>
      </c>
      <c r="N8">
        <v>234</v>
      </c>
      <c r="O8">
        <v>210.16239316240001</v>
      </c>
      <c r="R8">
        <v>3</v>
      </c>
      <c r="S8">
        <v>281.3333333333</v>
      </c>
      <c r="V8" t="s">
        <v>429</v>
      </c>
      <c r="W8">
        <v>1351</v>
      </c>
      <c r="X8">
        <v>914</v>
      </c>
      <c r="Y8">
        <v>205.58971553609999</v>
      </c>
      <c r="Z8">
        <v>225</v>
      </c>
      <c r="AA8">
        <v>372.59111111110002</v>
      </c>
      <c r="AB8">
        <v>154</v>
      </c>
      <c r="AC8">
        <v>146.9090909091</v>
      </c>
      <c r="AD8">
        <v>185</v>
      </c>
      <c r="AE8">
        <v>374.81081081079998</v>
      </c>
      <c r="AF8">
        <v>95</v>
      </c>
      <c r="AG8">
        <v>177.3263157895</v>
      </c>
      <c r="AH8">
        <v>3</v>
      </c>
      <c r="AI8">
        <v>160.6666666667</v>
      </c>
      <c r="AL8" t="s">
        <v>429</v>
      </c>
      <c r="AM8">
        <v>29</v>
      </c>
      <c r="AN8">
        <v>19</v>
      </c>
      <c r="AO8">
        <v>147</v>
      </c>
      <c r="AP8">
        <v>6</v>
      </c>
      <c r="AQ8">
        <v>243.1666666667</v>
      </c>
      <c r="AR8">
        <v>9</v>
      </c>
      <c r="AS8">
        <v>133.7777777778</v>
      </c>
      <c r="AT8">
        <v>1</v>
      </c>
      <c r="AU8">
        <v>205</v>
      </c>
    </row>
    <row r="9" spans="2:51" x14ac:dyDescent="0.2">
      <c r="B9" t="s">
        <v>249</v>
      </c>
      <c r="C9">
        <v>10916</v>
      </c>
      <c r="D9">
        <v>179.75387152939999</v>
      </c>
      <c r="F9" t="s">
        <v>84</v>
      </c>
      <c r="G9">
        <v>1226</v>
      </c>
      <c r="H9">
        <v>873</v>
      </c>
      <c r="I9">
        <v>202.7079037801</v>
      </c>
      <c r="J9">
        <v>238</v>
      </c>
      <c r="K9">
        <v>375.76890756300003</v>
      </c>
      <c r="L9">
        <v>153</v>
      </c>
      <c r="M9">
        <v>116.4901960784</v>
      </c>
      <c r="N9">
        <v>197</v>
      </c>
      <c r="O9">
        <v>363.05076142130002</v>
      </c>
      <c r="R9">
        <v>3</v>
      </c>
      <c r="S9">
        <v>160.6666666667</v>
      </c>
      <c r="V9" t="s">
        <v>399</v>
      </c>
      <c r="W9">
        <v>8215</v>
      </c>
      <c r="X9">
        <v>6305</v>
      </c>
      <c r="Y9">
        <v>497.94829500399999</v>
      </c>
      <c r="Z9">
        <v>239</v>
      </c>
      <c r="AA9">
        <v>913.82426778240006</v>
      </c>
      <c r="AB9">
        <v>1326</v>
      </c>
      <c r="AC9">
        <v>975.22850678730003</v>
      </c>
      <c r="AD9">
        <v>422</v>
      </c>
      <c r="AE9">
        <v>664.25118483409994</v>
      </c>
      <c r="AF9">
        <v>158</v>
      </c>
      <c r="AG9">
        <v>152.52531645569999</v>
      </c>
      <c r="AH9">
        <v>4</v>
      </c>
      <c r="AI9">
        <v>97</v>
      </c>
      <c r="AL9" t="s">
        <v>399</v>
      </c>
      <c r="AM9">
        <v>196</v>
      </c>
      <c r="AN9">
        <v>178</v>
      </c>
      <c r="AO9">
        <v>563.1516853933</v>
      </c>
      <c r="AP9">
        <v>15</v>
      </c>
      <c r="AQ9">
        <v>706</v>
      </c>
      <c r="AR9">
        <v>16</v>
      </c>
      <c r="AS9">
        <v>490.9375</v>
      </c>
      <c r="AT9">
        <v>2</v>
      </c>
      <c r="AU9">
        <v>138</v>
      </c>
    </row>
    <row r="10" spans="2:51" x14ac:dyDescent="0.2">
      <c r="B10" t="s">
        <v>955</v>
      </c>
      <c r="C10">
        <v>441</v>
      </c>
      <c r="D10">
        <v>462.37868480729998</v>
      </c>
      <c r="F10" t="s">
        <v>79</v>
      </c>
      <c r="G10">
        <v>1770</v>
      </c>
      <c r="H10">
        <v>715</v>
      </c>
      <c r="I10">
        <v>120.9244755245</v>
      </c>
      <c r="J10">
        <v>507</v>
      </c>
      <c r="K10">
        <v>199.9723865878</v>
      </c>
      <c r="L10">
        <v>958</v>
      </c>
      <c r="M10">
        <v>294.08246346559997</v>
      </c>
      <c r="N10">
        <v>97</v>
      </c>
      <c r="O10">
        <v>159.07216494849999</v>
      </c>
      <c r="V10" t="s">
        <v>401</v>
      </c>
      <c r="W10">
        <v>8267</v>
      </c>
      <c r="X10">
        <v>6121</v>
      </c>
      <c r="Y10">
        <v>439.75167456299999</v>
      </c>
      <c r="Z10">
        <v>203</v>
      </c>
      <c r="AA10">
        <v>879.2660098522</v>
      </c>
      <c r="AB10">
        <v>1303</v>
      </c>
      <c r="AC10">
        <v>574.93399846509999</v>
      </c>
      <c r="AD10">
        <v>552</v>
      </c>
      <c r="AE10">
        <v>604.06159420289998</v>
      </c>
      <c r="AF10">
        <v>271</v>
      </c>
      <c r="AG10">
        <v>180.83025830259999</v>
      </c>
      <c r="AH10">
        <v>20</v>
      </c>
      <c r="AI10">
        <v>674.6</v>
      </c>
      <c r="AL10" t="s">
        <v>401</v>
      </c>
      <c r="AM10">
        <v>357</v>
      </c>
      <c r="AN10">
        <v>251</v>
      </c>
      <c r="AO10">
        <v>405.21912350600002</v>
      </c>
      <c r="AP10">
        <v>24</v>
      </c>
      <c r="AQ10">
        <v>491.125</v>
      </c>
      <c r="AR10">
        <v>94</v>
      </c>
      <c r="AS10">
        <v>439.17021276600002</v>
      </c>
      <c r="AT10">
        <v>12</v>
      </c>
      <c r="AU10">
        <v>200.6666666667</v>
      </c>
    </row>
    <row r="11" spans="2:51" x14ac:dyDescent="0.2">
      <c r="F11" t="s">
        <v>41</v>
      </c>
      <c r="G11">
        <v>13797</v>
      </c>
      <c r="H11">
        <v>10222</v>
      </c>
      <c r="I11">
        <v>641.27773429859997</v>
      </c>
      <c r="J11">
        <v>399</v>
      </c>
      <c r="K11">
        <v>1256.5238095238001</v>
      </c>
      <c r="L11">
        <v>2685</v>
      </c>
      <c r="M11">
        <v>1349.0178770949999</v>
      </c>
      <c r="N11">
        <v>867</v>
      </c>
      <c r="O11">
        <v>863.8039215686</v>
      </c>
      <c r="R11">
        <v>23</v>
      </c>
      <c r="S11">
        <v>677.39130434779997</v>
      </c>
      <c r="V11" t="s">
        <v>402</v>
      </c>
      <c r="W11">
        <v>5990</v>
      </c>
      <c r="X11">
        <v>4079</v>
      </c>
      <c r="Y11">
        <v>400.15028193180001</v>
      </c>
      <c r="Z11">
        <v>769</v>
      </c>
      <c r="AA11">
        <v>479.9973992198</v>
      </c>
      <c r="AB11">
        <v>1014</v>
      </c>
      <c r="AC11">
        <v>652.17652859960003</v>
      </c>
      <c r="AD11">
        <v>594</v>
      </c>
      <c r="AE11">
        <v>428.3888888889</v>
      </c>
      <c r="AF11">
        <v>297</v>
      </c>
      <c r="AG11">
        <v>187.76767676770001</v>
      </c>
      <c r="AH11">
        <v>6</v>
      </c>
      <c r="AI11">
        <v>629.33333333329995</v>
      </c>
      <c r="AL11" t="s">
        <v>402</v>
      </c>
      <c r="AM11">
        <v>271</v>
      </c>
      <c r="AN11">
        <v>219</v>
      </c>
      <c r="AO11">
        <v>381.13698630139999</v>
      </c>
      <c r="AP11">
        <v>17</v>
      </c>
      <c r="AQ11">
        <v>493.1176470588</v>
      </c>
      <c r="AR11">
        <v>46</v>
      </c>
      <c r="AS11">
        <v>378.30434782610001</v>
      </c>
      <c r="AT11">
        <v>5</v>
      </c>
      <c r="AU11">
        <v>433.8</v>
      </c>
      <c r="AV11">
        <v>1</v>
      </c>
      <c r="AW11">
        <v>123</v>
      </c>
    </row>
    <row r="12" spans="2:51" x14ac:dyDescent="0.2">
      <c r="F12" t="s">
        <v>59</v>
      </c>
      <c r="G12">
        <v>3366</v>
      </c>
      <c r="H12">
        <v>2835</v>
      </c>
      <c r="I12">
        <v>286.61516754849998</v>
      </c>
      <c r="J12">
        <v>168</v>
      </c>
      <c r="K12">
        <v>530.92857142859998</v>
      </c>
      <c r="L12">
        <v>472</v>
      </c>
      <c r="M12">
        <v>308.1800847458</v>
      </c>
      <c r="N12">
        <v>59</v>
      </c>
      <c r="O12">
        <v>117</v>
      </c>
      <c r="V12" t="s">
        <v>404</v>
      </c>
      <c r="W12">
        <v>6839</v>
      </c>
      <c r="X12">
        <v>5639</v>
      </c>
      <c r="Y12">
        <v>295.5293491754</v>
      </c>
      <c r="Z12">
        <v>382</v>
      </c>
      <c r="AA12">
        <v>609.0654450262</v>
      </c>
      <c r="AB12">
        <v>352</v>
      </c>
      <c r="AC12">
        <v>201.9772727273</v>
      </c>
      <c r="AD12">
        <v>527</v>
      </c>
      <c r="AE12">
        <v>343.11954459200001</v>
      </c>
      <c r="AF12">
        <v>310</v>
      </c>
      <c r="AG12">
        <v>157.76451612899999</v>
      </c>
      <c r="AH12">
        <v>11</v>
      </c>
      <c r="AI12">
        <v>385.36363636359999</v>
      </c>
      <c r="AL12" t="s">
        <v>404</v>
      </c>
      <c r="AM12">
        <v>221</v>
      </c>
      <c r="AN12">
        <v>187</v>
      </c>
      <c r="AO12">
        <v>364.2406417112</v>
      </c>
      <c r="AP12">
        <v>9</v>
      </c>
      <c r="AQ12">
        <v>512.66666666670005</v>
      </c>
      <c r="AR12">
        <v>34</v>
      </c>
      <c r="AS12">
        <v>166.5588235294</v>
      </c>
    </row>
    <row r="13" spans="2:51" x14ac:dyDescent="0.2">
      <c r="F13" t="s">
        <v>78</v>
      </c>
      <c r="G13">
        <v>6419</v>
      </c>
      <c r="H13">
        <v>5573</v>
      </c>
      <c r="I13">
        <v>290.14965009870002</v>
      </c>
      <c r="J13">
        <v>382</v>
      </c>
      <c r="K13">
        <v>608.67015706810002</v>
      </c>
      <c r="L13">
        <v>321</v>
      </c>
      <c r="M13">
        <v>175.9190031153</v>
      </c>
      <c r="N13">
        <v>515</v>
      </c>
      <c r="O13">
        <v>340.88932038830001</v>
      </c>
      <c r="R13">
        <v>10</v>
      </c>
      <c r="S13">
        <v>392.7</v>
      </c>
      <c r="V13" t="s">
        <v>407</v>
      </c>
      <c r="W13">
        <v>1304</v>
      </c>
      <c r="X13">
        <v>362</v>
      </c>
      <c r="Y13">
        <v>129.48342541439999</v>
      </c>
      <c r="Z13">
        <v>353</v>
      </c>
      <c r="AA13">
        <v>206.08215297449999</v>
      </c>
      <c r="AB13">
        <v>578</v>
      </c>
      <c r="AC13">
        <v>232.0709342561</v>
      </c>
      <c r="AD13">
        <v>228</v>
      </c>
      <c r="AE13">
        <v>211.51754385960001</v>
      </c>
      <c r="AF13">
        <v>134</v>
      </c>
      <c r="AG13">
        <v>188.9104477612</v>
      </c>
      <c r="AH13">
        <v>2</v>
      </c>
      <c r="AI13">
        <v>266</v>
      </c>
      <c r="AL13" t="s">
        <v>407</v>
      </c>
      <c r="AM13">
        <v>23</v>
      </c>
      <c r="AN13">
        <v>12</v>
      </c>
      <c r="AO13">
        <v>143.6666666667</v>
      </c>
      <c r="AP13">
        <v>6</v>
      </c>
      <c r="AQ13">
        <v>206.8333333333</v>
      </c>
      <c r="AR13">
        <v>8</v>
      </c>
      <c r="AS13">
        <v>93.625</v>
      </c>
      <c r="AT13">
        <v>3</v>
      </c>
      <c r="AU13">
        <v>138.6666666667</v>
      </c>
    </row>
    <row r="14" spans="2:51" x14ac:dyDescent="0.2">
      <c r="F14" t="s">
        <v>44</v>
      </c>
      <c r="G14">
        <v>1098</v>
      </c>
      <c r="H14">
        <v>569</v>
      </c>
      <c r="I14">
        <v>150.68189806679999</v>
      </c>
      <c r="J14">
        <v>253</v>
      </c>
      <c r="K14">
        <v>267.26482213439999</v>
      </c>
      <c r="L14">
        <v>407</v>
      </c>
      <c r="M14">
        <v>277.86977886979997</v>
      </c>
      <c r="N14">
        <v>120</v>
      </c>
      <c r="O14">
        <v>305.14999999999998</v>
      </c>
      <c r="R14">
        <v>2</v>
      </c>
      <c r="S14">
        <v>259.5</v>
      </c>
      <c r="V14" t="s">
        <v>408</v>
      </c>
      <c r="W14">
        <v>2204</v>
      </c>
      <c r="X14">
        <v>930</v>
      </c>
      <c r="Y14">
        <v>163.9408602151</v>
      </c>
      <c r="Z14">
        <v>510</v>
      </c>
      <c r="AA14">
        <v>214.56470588240001</v>
      </c>
      <c r="AB14">
        <v>981</v>
      </c>
      <c r="AC14">
        <v>300.7257900102</v>
      </c>
      <c r="AD14">
        <v>106</v>
      </c>
      <c r="AE14">
        <v>211.91509433959999</v>
      </c>
      <c r="AF14">
        <v>187</v>
      </c>
      <c r="AG14">
        <v>175.61497326200001</v>
      </c>
      <c r="AL14" t="s">
        <v>408</v>
      </c>
      <c r="AM14">
        <v>26</v>
      </c>
      <c r="AN14">
        <v>17</v>
      </c>
      <c r="AO14">
        <v>63</v>
      </c>
      <c r="AP14">
        <v>19</v>
      </c>
      <c r="AQ14">
        <v>217.7894736842</v>
      </c>
      <c r="AR14">
        <v>4</v>
      </c>
      <c r="AS14">
        <v>121.25</v>
      </c>
      <c r="AT14">
        <v>5</v>
      </c>
      <c r="AU14">
        <v>97.4</v>
      </c>
    </row>
    <row r="15" spans="2:51" x14ac:dyDescent="0.2">
      <c r="F15" t="s">
        <v>77</v>
      </c>
      <c r="G15">
        <v>227</v>
      </c>
      <c r="H15">
        <v>87</v>
      </c>
      <c r="I15">
        <v>115.7586206897</v>
      </c>
      <c r="J15">
        <v>117</v>
      </c>
      <c r="K15">
        <v>174.12820512819999</v>
      </c>
      <c r="L15">
        <v>90</v>
      </c>
      <c r="M15">
        <v>188.08888888889999</v>
      </c>
      <c r="N15">
        <v>42</v>
      </c>
      <c r="O15">
        <v>212.45238095240001</v>
      </c>
      <c r="R15">
        <v>8</v>
      </c>
      <c r="S15">
        <v>196.375</v>
      </c>
      <c r="V15" t="s">
        <v>403</v>
      </c>
      <c r="W15">
        <v>3468</v>
      </c>
      <c r="X15">
        <v>2818</v>
      </c>
      <c r="Y15">
        <v>293.81192334989998</v>
      </c>
      <c r="Z15">
        <v>186</v>
      </c>
      <c r="AA15">
        <v>550.63978494620005</v>
      </c>
      <c r="AB15">
        <v>473</v>
      </c>
      <c r="AC15">
        <v>316.88794926000003</v>
      </c>
      <c r="AD15">
        <v>77</v>
      </c>
      <c r="AE15">
        <v>181.41558441559999</v>
      </c>
      <c r="AF15">
        <v>100</v>
      </c>
      <c r="AG15">
        <v>142.85</v>
      </c>
      <c r="AL15" t="s">
        <v>403</v>
      </c>
      <c r="AM15">
        <v>93</v>
      </c>
      <c r="AN15">
        <v>69</v>
      </c>
      <c r="AO15">
        <v>274.27536231879998</v>
      </c>
      <c r="AP15">
        <v>6</v>
      </c>
      <c r="AQ15">
        <v>384</v>
      </c>
      <c r="AR15">
        <v>19</v>
      </c>
      <c r="AS15">
        <v>325.26315789469999</v>
      </c>
      <c r="AT15">
        <v>5</v>
      </c>
      <c r="AU15">
        <v>256.8</v>
      </c>
    </row>
    <row r="16" spans="2:51" x14ac:dyDescent="0.2">
      <c r="F16" t="s">
        <v>51</v>
      </c>
      <c r="G16">
        <v>8306</v>
      </c>
      <c r="H16">
        <v>6535</v>
      </c>
      <c r="I16">
        <v>499.4059678653</v>
      </c>
      <c r="J16">
        <v>250</v>
      </c>
      <c r="K16">
        <v>927.99599999999998</v>
      </c>
      <c r="L16">
        <v>1352</v>
      </c>
      <c r="M16">
        <v>984.27662721889999</v>
      </c>
      <c r="N16">
        <v>415</v>
      </c>
      <c r="O16">
        <v>661.34698795179997</v>
      </c>
      <c r="R16">
        <v>4</v>
      </c>
      <c r="S16">
        <v>97</v>
      </c>
      <c r="V16" t="s">
        <v>426</v>
      </c>
      <c r="W16">
        <v>444</v>
      </c>
      <c r="X16">
        <v>346</v>
      </c>
      <c r="Y16">
        <v>242.72832369939999</v>
      </c>
      <c r="Z16">
        <v>21</v>
      </c>
      <c r="AA16">
        <v>491.04761904759999</v>
      </c>
      <c r="AB16">
        <v>62</v>
      </c>
      <c r="AC16">
        <v>281.3548387097</v>
      </c>
      <c r="AD16">
        <v>15</v>
      </c>
      <c r="AE16">
        <v>234.53333333329999</v>
      </c>
      <c r="AF16">
        <v>21</v>
      </c>
      <c r="AG16">
        <v>120.57142857140001</v>
      </c>
      <c r="AL16" t="s">
        <v>426</v>
      </c>
      <c r="AM16">
        <v>7</v>
      </c>
      <c r="AN16">
        <v>6</v>
      </c>
      <c r="AO16">
        <v>235.5</v>
      </c>
      <c r="AP16">
        <v>3</v>
      </c>
      <c r="AQ16">
        <v>451.3333333333</v>
      </c>
      <c r="AR16">
        <v>1</v>
      </c>
      <c r="AS16">
        <v>73</v>
      </c>
    </row>
    <row r="17" spans="6:49" x14ac:dyDescent="0.2">
      <c r="F17" t="s">
        <v>397</v>
      </c>
      <c r="G17">
        <v>51700</v>
      </c>
      <c r="H17">
        <v>38496</v>
      </c>
      <c r="I17">
        <v>444.70578761429999</v>
      </c>
      <c r="J17">
        <v>3683</v>
      </c>
      <c r="K17">
        <v>536.0597339126</v>
      </c>
      <c r="L17">
        <v>9411</v>
      </c>
      <c r="M17">
        <v>756.89034109019997</v>
      </c>
      <c r="N17">
        <v>3714</v>
      </c>
      <c r="O17">
        <v>533.57027463650002</v>
      </c>
      <c r="R17">
        <v>79</v>
      </c>
      <c r="S17">
        <v>513.65822784809995</v>
      </c>
      <c r="V17" t="s">
        <v>427</v>
      </c>
      <c r="W17">
        <v>192</v>
      </c>
      <c r="X17">
        <v>51</v>
      </c>
      <c r="Y17">
        <v>277.54901960780001</v>
      </c>
      <c r="Z17">
        <v>34</v>
      </c>
      <c r="AA17">
        <v>278.9411764706</v>
      </c>
      <c r="AB17">
        <v>45</v>
      </c>
      <c r="AC17">
        <v>345.42222222219999</v>
      </c>
      <c r="AD17">
        <v>43</v>
      </c>
      <c r="AE17">
        <v>243.86046511629999</v>
      </c>
      <c r="AF17">
        <v>45</v>
      </c>
      <c r="AG17">
        <v>251.7777777778</v>
      </c>
      <c r="AH17">
        <v>8</v>
      </c>
      <c r="AI17">
        <v>196.375</v>
      </c>
      <c r="AL17" t="s">
        <v>427</v>
      </c>
      <c r="AM17">
        <v>9</v>
      </c>
      <c r="AN17">
        <v>7</v>
      </c>
      <c r="AO17">
        <v>155.71428571429999</v>
      </c>
      <c r="AP17">
        <v>4</v>
      </c>
      <c r="AQ17">
        <v>206.75</v>
      </c>
      <c r="AR17">
        <v>2</v>
      </c>
      <c r="AS17">
        <v>199</v>
      </c>
    </row>
    <row r="18" spans="6:49" x14ac:dyDescent="0.2">
      <c r="F18" t="s">
        <v>71</v>
      </c>
      <c r="G18">
        <v>3039</v>
      </c>
      <c r="H18">
        <v>2450</v>
      </c>
      <c r="I18">
        <v>270.21755102039998</v>
      </c>
      <c r="J18">
        <v>156</v>
      </c>
      <c r="K18">
        <v>545.82051282049997</v>
      </c>
      <c r="L18">
        <v>339</v>
      </c>
      <c r="M18">
        <v>298.22713864309998</v>
      </c>
      <c r="N18">
        <v>246</v>
      </c>
      <c r="O18">
        <v>512.98373983739998</v>
      </c>
      <c r="R18">
        <v>4</v>
      </c>
      <c r="S18">
        <v>814.75</v>
      </c>
      <c r="V18" t="s">
        <v>397</v>
      </c>
      <c r="W18">
        <v>53306</v>
      </c>
      <c r="X18">
        <v>38255</v>
      </c>
      <c r="Y18">
        <v>443.32693765520003</v>
      </c>
      <c r="Z18">
        <v>3580</v>
      </c>
      <c r="AA18">
        <v>545.55418994410002</v>
      </c>
      <c r="AB18">
        <v>9341</v>
      </c>
      <c r="AC18">
        <v>753.88973343329997</v>
      </c>
      <c r="AD18">
        <v>3748</v>
      </c>
      <c r="AE18">
        <v>533.33564567769997</v>
      </c>
      <c r="AF18">
        <v>1883</v>
      </c>
      <c r="AG18">
        <v>180.93574083909999</v>
      </c>
      <c r="AH18">
        <v>79</v>
      </c>
      <c r="AI18">
        <v>514.17721518990004</v>
      </c>
      <c r="AL18" t="s">
        <v>397</v>
      </c>
      <c r="AM18">
        <v>1669</v>
      </c>
      <c r="AN18">
        <v>1313</v>
      </c>
      <c r="AO18">
        <v>429.58492003049997</v>
      </c>
      <c r="AP18">
        <v>155</v>
      </c>
      <c r="AQ18">
        <v>514.50967741939996</v>
      </c>
      <c r="AR18">
        <v>315</v>
      </c>
      <c r="AS18">
        <v>398.4857142857</v>
      </c>
      <c r="AT18">
        <v>40</v>
      </c>
      <c r="AU18">
        <v>207.125</v>
      </c>
      <c r="AV18">
        <v>1</v>
      </c>
      <c r="AW18">
        <v>123</v>
      </c>
    </row>
    <row r="19" spans="6:49" x14ac:dyDescent="0.2">
      <c r="F19" t="s">
        <v>37</v>
      </c>
      <c r="G19">
        <v>924</v>
      </c>
      <c r="H19">
        <v>585</v>
      </c>
      <c r="I19">
        <v>244.2512820513</v>
      </c>
      <c r="J19">
        <v>87</v>
      </c>
      <c r="K19">
        <v>472.01149425289998</v>
      </c>
      <c r="L19">
        <v>165</v>
      </c>
      <c r="M19">
        <v>231.9333333333</v>
      </c>
      <c r="N19">
        <v>170</v>
      </c>
      <c r="O19">
        <v>583.36470588240002</v>
      </c>
      <c r="R19">
        <v>4</v>
      </c>
      <c r="S19">
        <v>310</v>
      </c>
      <c r="V19" t="s">
        <v>415</v>
      </c>
      <c r="W19">
        <v>1003</v>
      </c>
      <c r="X19">
        <v>608</v>
      </c>
      <c r="Y19">
        <v>260.43914473680002</v>
      </c>
      <c r="Z19">
        <v>98</v>
      </c>
      <c r="AA19">
        <v>492.68367346939999</v>
      </c>
      <c r="AB19">
        <v>166</v>
      </c>
      <c r="AC19">
        <v>244.7951807229</v>
      </c>
      <c r="AD19">
        <v>163</v>
      </c>
      <c r="AE19">
        <v>581.30674846629995</v>
      </c>
      <c r="AF19">
        <v>62</v>
      </c>
      <c r="AG19">
        <v>172.61290322580001</v>
      </c>
      <c r="AH19">
        <v>4</v>
      </c>
      <c r="AI19">
        <v>310</v>
      </c>
      <c r="AL19" t="s">
        <v>415</v>
      </c>
      <c r="AM19">
        <v>14</v>
      </c>
      <c r="AN19">
        <v>13</v>
      </c>
      <c r="AO19">
        <v>137.4615384615</v>
      </c>
      <c r="AP19">
        <v>7</v>
      </c>
      <c r="AQ19">
        <v>222.1428571429</v>
      </c>
      <c r="AR19">
        <v>1</v>
      </c>
      <c r="AS19">
        <v>102</v>
      </c>
    </row>
    <row r="20" spans="6:49" x14ac:dyDescent="0.2">
      <c r="F20" t="s">
        <v>58</v>
      </c>
      <c r="G20">
        <v>963</v>
      </c>
      <c r="H20">
        <v>444</v>
      </c>
      <c r="I20">
        <v>199.18018018020001</v>
      </c>
      <c r="J20">
        <v>146</v>
      </c>
      <c r="K20">
        <v>342.54109589040002</v>
      </c>
      <c r="L20">
        <v>152</v>
      </c>
      <c r="M20">
        <v>316.88815789469999</v>
      </c>
      <c r="N20">
        <v>361</v>
      </c>
      <c r="O20">
        <v>572.97229916900005</v>
      </c>
      <c r="R20">
        <v>6</v>
      </c>
      <c r="S20">
        <v>358.8333333333</v>
      </c>
      <c r="V20" t="s">
        <v>431</v>
      </c>
      <c r="W20">
        <v>276</v>
      </c>
      <c r="X20">
        <v>116</v>
      </c>
      <c r="Y20">
        <v>211.43103448279999</v>
      </c>
      <c r="Z20">
        <v>104</v>
      </c>
      <c r="AA20">
        <v>228.80769230769999</v>
      </c>
      <c r="AB20">
        <v>71</v>
      </c>
      <c r="AC20">
        <v>185.90140845069999</v>
      </c>
      <c r="AD20">
        <v>52</v>
      </c>
      <c r="AE20">
        <v>444.61538461539999</v>
      </c>
      <c r="AF20">
        <v>37</v>
      </c>
      <c r="AG20">
        <v>108.7837837838</v>
      </c>
      <c r="AL20" t="s">
        <v>431</v>
      </c>
      <c r="AM20">
        <v>3</v>
      </c>
      <c r="AN20">
        <v>3</v>
      </c>
      <c r="AO20">
        <v>82</v>
      </c>
      <c r="AP20">
        <v>1</v>
      </c>
      <c r="AQ20">
        <v>267</v>
      </c>
    </row>
    <row r="21" spans="6:49" x14ac:dyDescent="0.2">
      <c r="F21" t="s">
        <v>65</v>
      </c>
      <c r="G21">
        <v>8667</v>
      </c>
      <c r="H21">
        <v>7120</v>
      </c>
      <c r="I21">
        <v>382.63455056179998</v>
      </c>
      <c r="J21">
        <v>586</v>
      </c>
      <c r="K21">
        <v>663.91296928329996</v>
      </c>
      <c r="L21">
        <v>1126</v>
      </c>
      <c r="M21">
        <v>631.86767317939996</v>
      </c>
      <c r="N21">
        <v>409</v>
      </c>
      <c r="O21">
        <v>573.45232273839997</v>
      </c>
      <c r="R21">
        <v>12</v>
      </c>
      <c r="S21">
        <v>425</v>
      </c>
      <c r="V21" t="s">
        <v>435</v>
      </c>
      <c r="W21">
        <v>1127</v>
      </c>
      <c r="X21">
        <v>848</v>
      </c>
      <c r="Y21">
        <v>291.77830188680002</v>
      </c>
      <c r="Z21">
        <v>65</v>
      </c>
      <c r="AA21">
        <v>552.07692307690002</v>
      </c>
      <c r="AB21">
        <v>170</v>
      </c>
      <c r="AC21">
        <v>379.62941176470002</v>
      </c>
      <c r="AD21">
        <v>63</v>
      </c>
      <c r="AE21">
        <v>486.8412698413</v>
      </c>
      <c r="AF21">
        <v>45</v>
      </c>
      <c r="AG21">
        <v>158.4</v>
      </c>
      <c r="AH21">
        <v>1</v>
      </c>
      <c r="AI21">
        <v>291</v>
      </c>
      <c r="AL21" t="s">
        <v>435</v>
      </c>
      <c r="AM21">
        <v>11</v>
      </c>
      <c r="AN21">
        <v>8</v>
      </c>
      <c r="AO21">
        <v>207.75</v>
      </c>
      <c r="AP21">
        <v>4</v>
      </c>
      <c r="AQ21">
        <v>331.5</v>
      </c>
      <c r="AR21">
        <v>2</v>
      </c>
      <c r="AS21">
        <v>87.5</v>
      </c>
      <c r="AT21">
        <v>1</v>
      </c>
      <c r="AU21">
        <v>221</v>
      </c>
    </row>
    <row r="22" spans="6:49" x14ac:dyDescent="0.2">
      <c r="F22" t="s">
        <v>67</v>
      </c>
      <c r="G22">
        <v>7136</v>
      </c>
      <c r="H22">
        <v>5285</v>
      </c>
      <c r="I22">
        <v>370.31485335859998</v>
      </c>
      <c r="J22">
        <v>311</v>
      </c>
      <c r="K22">
        <v>646.39549839230006</v>
      </c>
      <c r="L22">
        <v>1471</v>
      </c>
      <c r="M22">
        <v>760.1121685928</v>
      </c>
      <c r="N22">
        <v>369</v>
      </c>
      <c r="O22">
        <v>583.21951219510004</v>
      </c>
      <c r="R22">
        <v>11</v>
      </c>
      <c r="S22">
        <v>628.09090909090003</v>
      </c>
      <c r="V22" t="s">
        <v>420</v>
      </c>
      <c r="W22">
        <v>3125</v>
      </c>
      <c r="X22">
        <v>2415</v>
      </c>
      <c r="Y22">
        <v>276.24472049690002</v>
      </c>
      <c r="Z22">
        <v>151</v>
      </c>
      <c r="AA22">
        <v>546.11258278150001</v>
      </c>
      <c r="AB22">
        <v>350</v>
      </c>
      <c r="AC22">
        <v>335.4085714286</v>
      </c>
      <c r="AD22">
        <v>248</v>
      </c>
      <c r="AE22">
        <v>503.62096774190002</v>
      </c>
      <c r="AF22">
        <v>108</v>
      </c>
      <c r="AG22">
        <v>217.7222222222</v>
      </c>
      <c r="AH22">
        <v>4</v>
      </c>
      <c r="AI22">
        <v>814.75</v>
      </c>
      <c r="AL22" t="s">
        <v>420</v>
      </c>
      <c r="AM22">
        <v>36</v>
      </c>
      <c r="AN22">
        <v>21</v>
      </c>
      <c r="AO22">
        <v>146.04761904759999</v>
      </c>
      <c r="AP22">
        <v>20</v>
      </c>
      <c r="AQ22">
        <v>339.4</v>
      </c>
      <c r="AR22">
        <v>8</v>
      </c>
      <c r="AS22">
        <v>82.5</v>
      </c>
      <c r="AT22">
        <v>6</v>
      </c>
      <c r="AU22">
        <v>163</v>
      </c>
      <c r="AV22">
        <v>1</v>
      </c>
      <c r="AW22">
        <v>143</v>
      </c>
    </row>
    <row r="23" spans="6:49" x14ac:dyDescent="0.2">
      <c r="F23" t="s">
        <v>76</v>
      </c>
      <c r="G23">
        <v>5134</v>
      </c>
      <c r="H23">
        <v>4094</v>
      </c>
      <c r="I23">
        <v>262.51172447480002</v>
      </c>
      <c r="J23">
        <v>349</v>
      </c>
      <c r="K23">
        <v>461.8968481375</v>
      </c>
      <c r="L23">
        <v>766</v>
      </c>
      <c r="M23">
        <v>387.4895561358</v>
      </c>
      <c r="N23">
        <v>266</v>
      </c>
      <c r="O23">
        <v>439.53383458650001</v>
      </c>
      <c r="R23">
        <v>8</v>
      </c>
      <c r="S23">
        <v>288.875</v>
      </c>
      <c r="V23" t="s">
        <v>416</v>
      </c>
      <c r="W23">
        <v>5548</v>
      </c>
      <c r="X23">
        <v>3694</v>
      </c>
      <c r="Y23">
        <v>367.29263670820001</v>
      </c>
      <c r="Z23">
        <v>275</v>
      </c>
      <c r="AA23">
        <v>621.40727272729998</v>
      </c>
      <c r="AB23">
        <v>1489</v>
      </c>
      <c r="AC23">
        <v>554.72128945600002</v>
      </c>
      <c r="AD23">
        <v>234</v>
      </c>
      <c r="AE23">
        <v>456.30341880340001</v>
      </c>
      <c r="AF23">
        <v>126</v>
      </c>
      <c r="AG23">
        <v>152.46825396829999</v>
      </c>
      <c r="AH23">
        <v>5</v>
      </c>
      <c r="AI23">
        <v>326.60000000000002</v>
      </c>
      <c r="AL23" t="s">
        <v>416</v>
      </c>
      <c r="AM23">
        <v>58</v>
      </c>
      <c r="AN23">
        <v>42</v>
      </c>
      <c r="AO23">
        <v>408.11904761900001</v>
      </c>
      <c r="AP23">
        <v>22</v>
      </c>
      <c r="AQ23">
        <v>345</v>
      </c>
      <c r="AR23">
        <v>13</v>
      </c>
      <c r="AS23">
        <v>179.4615384615</v>
      </c>
      <c r="AT23">
        <v>2</v>
      </c>
      <c r="AU23">
        <v>54.5</v>
      </c>
      <c r="AV23">
        <v>1</v>
      </c>
      <c r="AW23">
        <v>109</v>
      </c>
    </row>
    <row r="24" spans="6:49" x14ac:dyDescent="0.2">
      <c r="F24" t="s">
        <v>48</v>
      </c>
      <c r="G24">
        <v>1394</v>
      </c>
      <c r="H24">
        <v>1076</v>
      </c>
      <c r="I24">
        <v>289.20446096649999</v>
      </c>
      <c r="J24">
        <v>73</v>
      </c>
      <c r="K24">
        <v>534.34246575340001</v>
      </c>
      <c r="L24">
        <v>241</v>
      </c>
      <c r="M24">
        <v>434.39004149380003</v>
      </c>
      <c r="N24">
        <v>75</v>
      </c>
      <c r="O24">
        <v>533.16</v>
      </c>
      <c r="R24">
        <v>2</v>
      </c>
      <c r="S24">
        <v>221.5</v>
      </c>
      <c r="V24" t="s">
        <v>433</v>
      </c>
      <c r="W24">
        <v>7243</v>
      </c>
      <c r="X24">
        <v>5276</v>
      </c>
      <c r="Y24">
        <v>370.98597422289998</v>
      </c>
      <c r="Z24">
        <v>320</v>
      </c>
      <c r="AA24">
        <v>634.79062499999998</v>
      </c>
      <c r="AB24">
        <v>1433</v>
      </c>
      <c r="AC24">
        <v>740.30425680389999</v>
      </c>
      <c r="AD24">
        <v>382</v>
      </c>
      <c r="AE24">
        <v>575.07068062830001</v>
      </c>
      <c r="AF24">
        <v>140</v>
      </c>
      <c r="AG24">
        <v>218.81428571430001</v>
      </c>
      <c r="AH24">
        <v>12</v>
      </c>
      <c r="AI24">
        <v>636</v>
      </c>
      <c r="AL24" t="s">
        <v>433</v>
      </c>
      <c r="AM24">
        <v>144</v>
      </c>
      <c r="AN24">
        <v>99</v>
      </c>
      <c r="AO24">
        <v>301.15151515150001</v>
      </c>
      <c r="AP24">
        <v>38</v>
      </c>
      <c r="AQ24">
        <v>322.60526315790003</v>
      </c>
      <c r="AR24">
        <v>43</v>
      </c>
      <c r="AS24">
        <v>365.55813953490002</v>
      </c>
      <c r="AT24">
        <v>2</v>
      </c>
      <c r="AU24">
        <v>183.5</v>
      </c>
    </row>
    <row r="25" spans="6:49" x14ac:dyDescent="0.2">
      <c r="F25" t="s">
        <v>69</v>
      </c>
      <c r="G25">
        <v>5501</v>
      </c>
      <c r="H25">
        <v>3729</v>
      </c>
      <c r="I25">
        <v>368.72512738</v>
      </c>
      <c r="J25">
        <v>272</v>
      </c>
      <c r="K25">
        <v>619.77941176469994</v>
      </c>
      <c r="L25">
        <v>1536</v>
      </c>
      <c r="M25">
        <v>560.89518229170005</v>
      </c>
      <c r="N25">
        <v>230</v>
      </c>
      <c r="O25">
        <v>462.61739130429999</v>
      </c>
      <c r="R25">
        <v>6</v>
      </c>
      <c r="S25">
        <v>348.8333333333</v>
      </c>
      <c r="V25" t="s">
        <v>414</v>
      </c>
      <c r="W25">
        <v>18439</v>
      </c>
      <c r="X25">
        <v>14599</v>
      </c>
      <c r="Y25">
        <v>326.71087060759999</v>
      </c>
      <c r="Z25">
        <v>1540</v>
      </c>
      <c r="AA25">
        <v>517.8831168831</v>
      </c>
      <c r="AB25">
        <v>2284</v>
      </c>
      <c r="AC25">
        <v>458.89010507879999</v>
      </c>
      <c r="AD25">
        <v>892</v>
      </c>
      <c r="AE25">
        <v>446.62892376680003</v>
      </c>
      <c r="AF25">
        <v>645</v>
      </c>
      <c r="AG25">
        <v>157.6666666667</v>
      </c>
      <c r="AH25">
        <v>19</v>
      </c>
      <c r="AI25">
        <v>361.26315789469999</v>
      </c>
      <c r="AL25" t="s">
        <v>414</v>
      </c>
      <c r="AM25">
        <v>433</v>
      </c>
      <c r="AN25">
        <v>325</v>
      </c>
      <c r="AO25">
        <v>357.76923076920002</v>
      </c>
      <c r="AP25">
        <v>147</v>
      </c>
      <c r="AQ25">
        <v>338.18367346939999</v>
      </c>
      <c r="AR25">
        <v>91</v>
      </c>
      <c r="AS25">
        <v>215.28571428570001</v>
      </c>
      <c r="AT25">
        <v>17</v>
      </c>
      <c r="AU25">
        <v>96.705882352900005</v>
      </c>
    </row>
    <row r="26" spans="6:49" x14ac:dyDescent="0.2">
      <c r="F26" t="s">
        <v>35</v>
      </c>
      <c r="G26">
        <v>210</v>
      </c>
      <c r="H26">
        <v>84</v>
      </c>
      <c r="I26">
        <v>112.3928571429</v>
      </c>
      <c r="J26">
        <v>105</v>
      </c>
      <c r="K26">
        <v>210.19047619049999</v>
      </c>
      <c r="L26">
        <v>65</v>
      </c>
      <c r="M26">
        <v>111.06153846150001</v>
      </c>
      <c r="N26">
        <v>61</v>
      </c>
      <c r="O26">
        <v>403.8852459016</v>
      </c>
      <c r="V26" t="s">
        <v>412</v>
      </c>
      <c r="W26">
        <v>1921</v>
      </c>
      <c r="X26">
        <v>1441</v>
      </c>
      <c r="Y26">
        <v>293.9555863983</v>
      </c>
      <c r="Z26">
        <v>243</v>
      </c>
      <c r="AA26">
        <v>483.00823045269999</v>
      </c>
      <c r="AB26">
        <v>294</v>
      </c>
      <c r="AC26">
        <v>293.27210884350001</v>
      </c>
      <c r="AD26">
        <v>108</v>
      </c>
      <c r="AE26">
        <v>362.2777777778</v>
      </c>
      <c r="AF26">
        <v>78</v>
      </c>
      <c r="AG26">
        <v>177.02564102560001</v>
      </c>
      <c r="AL26" t="s">
        <v>412</v>
      </c>
      <c r="AM26">
        <v>30</v>
      </c>
      <c r="AN26">
        <v>21</v>
      </c>
      <c r="AO26">
        <v>332.90476190480001</v>
      </c>
      <c r="AP26">
        <v>21</v>
      </c>
      <c r="AQ26">
        <v>268.14285714290003</v>
      </c>
      <c r="AR26">
        <v>9</v>
      </c>
      <c r="AS26">
        <v>227.44444444440001</v>
      </c>
    </row>
    <row r="27" spans="6:49" x14ac:dyDescent="0.2">
      <c r="F27" t="s">
        <v>74</v>
      </c>
      <c r="G27">
        <v>4324</v>
      </c>
      <c r="H27">
        <v>3865</v>
      </c>
      <c r="I27">
        <v>216.94773609309999</v>
      </c>
      <c r="J27">
        <v>428</v>
      </c>
      <c r="K27">
        <v>378.58878504670002</v>
      </c>
      <c r="L27">
        <v>269</v>
      </c>
      <c r="M27">
        <v>158.76208178440001</v>
      </c>
      <c r="N27">
        <v>185</v>
      </c>
      <c r="O27">
        <v>223.95135135140001</v>
      </c>
      <c r="R27">
        <v>5</v>
      </c>
      <c r="S27">
        <v>233.4</v>
      </c>
      <c r="V27" t="s">
        <v>83</v>
      </c>
      <c r="W27">
        <v>5301</v>
      </c>
      <c r="X27">
        <v>4094</v>
      </c>
      <c r="Y27">
        <v>268.8392769907</v>
      </c>
      <c r="Z27">
        <v>350</v>
      </c>
      <c r="AA27">
        <v>465.68285714289999</v>
      </c>
      <c r="AB27">
        <v>783</v>
      </c>
      <c r="AC27">
        <v>418.28224776500002</v>
      </c>
      <c r="AD27">
        <v>276</v>
      </c>
      <c r="AE27">
        <v>447.92028985510001</v>
      </c>
      <c r="AF27">
        <v>141</v>
      </c>
      <c r="AG27">
        <v>157.54609929079999</v>
      </c>
      <c r="AH27">
        <v>7</v>
      </c>
      <c r="AI27">
        <v>226.8571428571</v>
      </c>
      <c r="AL27" t="s">
        <v>83</v>
      </c>
      <c r="AM27">
        <v>88</v>
      </c>
      <c r="AN27">
        <v>65</v>
      </c>
      <c r="AO27">
        <v>212.1692307692</v>
      </c>
      <c r="AP27">
        <v>40</v>
      </c>
      <c r="AQ27">
        <v>302.77499999999998</v>
      </c>
      <c r="AR27">
        <v>19</v>
      </c>
      <c r="AS27">
        <v>170.15789473679999</v>
      </c>
      <c r="AT27">
        <v>3</v>
      </c>
      <c r="AU27">
        <v>296.3333333333</v>
      </c>
      <c r="AV27">
        <v>1</v>
      </c>
      <c r="AW27">
        <v>193</v>
      </c>
    </row>
    <row r="28" spans="6:49" x14ac:dyDescent="0.2">
      <c r="F28" t="s">
        <v>34</v>
      </c>
      <c r="G28">
        <v>1737</v>
      </c>
      <c r="H28">
        <v>1343</v>
      </c>
      <c r="I28">
        <v>292.99925539840001</v>
      </c>
      <c r="J28">
        <v>244</v>
      </c>
      <c r="K28">
        <v>491.38114754100002</v>
      </c>
      <c r="L28">
        <v>291</v>
      </c>
      <c r="M28">
        <v>288.1340206186</v>
      </c>
      <c r="N28">
        <v>103</v>
      </c>
      <c r="O28">
        <v>343.67961165050002</v>
      </c>
      <c r="V28" t="s">
        <v>411</v>
      </c>
      <c r="W28">
        <v>43983</v>
      </c>
      <c r="X28">
        <v>33091</v>
      </c>
      <c r="Y28">
        <v>323.51403704929999</v>
      </c>
      <c r="Z28">
        <v>3146</v>
      </c>
      <c r="AA28">
        <v>522.04291163380003</v>
      </c>
      <c r="AB28">
        <v>7040</v>
      </c>
      <c r="AC28">
        <v>509.15383522730002</v>
      </c>
      <c r="AD28">
        <v>2418</v>
      </c>
      <c r="AE28">
        <v>480.16501240690002</v>
      </c>
      <c r="AF28">
        <v>1382</v>
      </c>
      <c r="AG28">
        <v>168.5463096961</v>
      </c>
      <c r="AH28">
        <v>52</v>
      </c>
      <c r="AI28">
        <v>432.82692307690002</v>
      </c>
      <c r="AL28" t="s">
        <v>411</v>
      </c>
      <c r="AM28">
        <v>817</v>
      </c>
      <c r="AN28">
        <v>597</v>
      </c>
      <c r="AO28">
        <v>319.55443886099999</v>
      </c>
      <c r="AP28">
        <v>300</v>
      </c>
      <c r="AQ28">
        <v>324.13333333330002</v>
      </c>
      <c r="AR28">
        <v>186</v>
      </c>
      <c r="AS28">
        <v>235.80645161289999</v>
      </c>
      <c r="AT28">
        <v>31</v>
      </c>
      <c r="AU28">
        <v>135.74193548389999</v>
      </c>
      <c r="AV28">
        <v>3</v>
      </c>
      <c r="AW28">
        <v>148.3333333333</v>
      </c>
    </row>
    <row r="29" spans="6:49" x14ac:dyDescent="0.2">
      <c r="F29" t="s">
        <v>55</v>
      </c>
      <c r="G29">
        <v>4770</v>
      </c>
      <c r="H29">
        <v>3697</v>
      </c>
      <c r="I29">
        <v>326.93832837439999</v>
      </c>
      <c r="J29">
        <v>527</v>
      </c>
      <c r="K29">
        <v>454.26755218220001</v>
      </c>
      <c r="L29">
        <v>847</v>
      </c>
      <c r="M29">
        <v>321.58205430930002</v>
      </c>
      <c r="N29">
        <v>226</v>
      </c>
      <c r="O29">
        <v>335.33185840710001</v>
      </c>
      <c r="V29" t="s">
        <v>395</v>
      </c>
      <c r="W29">
        <v>10668</v>
      </c>
      <c r="X29">
        <v>5327</v>
      </c>
      <c r="Y29">
        <v>277.77581674800001</v>
      </c>
      <c r="Z29">
        <v>623</v>
      </c>
      <c r="AA29">
        <v>627.92295345100001</v>
      </c>
      <c r="AB29">
        <v>3620</v>
      </c>
      <c r="AC29">
        <v>815.07790055249995</v>
      </c>
      <c r="AD29">
        <v>1247</v>
      </c>
      <c r="AE29">
        <v>516.03290529699996</v>
      </c>
      <c r="AF29">
        <v>450</v>
      </c>
      <c r="AG29">
        <v>178.5577777778</v>
      </c>
      <c r="AH29">
        <v>24</v>
      </c>
      <c r="AI29">
        <v>561.95833333329995</v>
      </c>
      <c r="AL29" t="s">
        <v>395</v>
      </c>
      <c r="AM29">
        <v>285</v>
      </c>
      <c r="AN29">
        <v>201</v>
      </c>
      <c r="AO29">
        <v>356.1890547264</v>
      </c>
      <c r="AP29">
        <v>24</v>
      </c>
      <c r="AQ29">
        <v>584.54166666670005</v>
      </c>
      <c r="AR29">
        <v>75</v>
      </c>
      <c r="AS29">
        <v>545.32000000000005</v>
      </c>
      <c r="AT29">
        <v>8</v>
      </c>
      <c r="AU29">
        <v>130.625</v>
      </c>
      <c r="AV29">
        <v>1</v>
      </c>
      <c r="AW29">
        <v>1</v>
      </c>
    </row>
    <row r="30" spans="6:49" x14ac:dyDescent="0.2">
      <c r="F30" t="s">
        <v>411</v>
      </c>
      <c r="G30">
        <v>43799</v>
      </c>
      <c r="H30">
        <v>33772</v>
      </c>
      <c r="I30">
        <v>319.372379486</v>
      </c>
      <c r="J30">
        <v>3284</v>
      </c>
      <c r="K30">
        <v>511.11358099879999</v>
      </c>
      <c r="L30">
        <v>7268</v>
      </c>
      <c r="M30">
        <v>507.20088057240002</v>
      </c>
      <c r="N30">
        <v>2701</v>
      </c>
      <c r="O30">
        <v>489.63939281749998</v>
      </c>
      <c r="R30">
        <v>58</v>
      </c>
      <c r="S30">
        <v>425.43103448279999</v>
      </c>
      <c r="V30" t="s">
        <v>432</v>
      </c>
      <c r="W30">
        <v>30521</v>
      </c>
      <c r="X30">
        <v>26242</v>
      </c>
      <c r="Y30">
        <v>445.85720274390002</v>
      </c>
      <c r="Z30">
        <v>1180</v>
      </c>
      <c r="AA30">
        <v>733.46186440680003</v>
      </c>
      <c r="AB30">
        <v>1294</v>
      </c>
      <c r="AC30">
        <v>315.61901081920001</v>
      </c>
      <c r="AD30">
        <v>2040</v>
      </c>
      <c r="AE30">
        <v>333.65392156860003</v>
      </c>
      <c r="AF30">
        <v>939</v>
      </c>
      <c r="AG30">
        <v>178.0383386581</v>
      </c>
      <c r="AH30">
        <v>6</v>
      </c>
      <c r="AI30">
        <v>359</v>
      </c>
      <c r="AL30" t="s">
        <v>432</v>
      </c>
      <c r="AM30">
        <v>626</v>
      </c>
      <c r="AN30">
        <v>546</v>
      </c>
      <c r="AO30">
        <v>317.88278388280003</v>
      </c>
      <c r="AP30">
        <v>125</v>
      </c>
      <c r="AQ30">
        <v>536.16</v>
      </c>
      <c r="AR30">
        <v>71</v>
      </c>
      <c r="AS30">
        <v>194.84507042249999</v>
      </c>
      <c r="AT30">
        <v>9</v>
      </c>
      <c r="AU30">
        <v>181.55555555559999</v>
      </c>
    </row>
    <row r="31" spans="6:49" x14ac:dyDescent="0.2">
      <c r="F31" t="s">
        <v>25</v>
      </c>
      <c r="G31">
        <v>17331</v>
      </c>
      <c r="H31">
        <v>14994</v>
      </c>
      <c r="I31">
        <v>543.05336179300002</v>
      </c>
      <c r="J31">
        <v>602</v>
      </c>
      <c r="K31">
        <v>912.43853820599998</v>
      </c>
      <c r="L31">
        <v>1397</v>
      </c>
      <c r="M31">
        <v>572.39656406589995</v>
      </c>
      <c r="N31">
        <v>914</v>
      </c>
      <c r="O31">
        <v>371.69222343920001</v>
      </c>
      <c r="R31">
        <v>26</v>
      </c>
      <c r="S31">
        <v>407.84615384620002</v>
      </c>
      <c r="V31" t="s">
        <v>388</v>
      </c>
      <c r="W31">
        <v>17966</v>
      </c>
      <c r="X31">
        <v>14978</v>
      </c>
      <c r="Y31">
        <v>540.25667735039997</v>
      </c>
      <c r="Z31">
        <v>627</v>
      </c>
      <c r="AA31">
        <v>901.16746411480005</v>
      </c>
      <c r="AB31">
        <v>1481</v>
      </c>
      <c r="AC31">
        <v>591.73328831870003</v>
      </c>
      <c r="AD31">
        <v>965</v>
      </c>
      <c r="AE31">
        <v>373.27489626559998</v>
      </c>
      <c r="AF31">
        <v>516</v>
      </c>
      <c r="AG31">
        <v>172.12427184469999</v>
      </c>
      <c r="AH31">
        <v>26</v>
      </c>
      <c r="AI31">
        <v>407.84615384620002</v>
      </c>
      <c r="AL31" t="s">
        <v>388</v>
      </c>
      <c r="AM31">
        <v>389</v>
      </c>
      <c r="AN31">
        <v>307</v>
      </c>
      <c r="AO31">
        <v>373.99674267099999</v>
      </c>
      <c r="AP31">
        <v>91</v>
      </c>
      <c r="AQ31">
        <v>625.20879120879999</v>
      </c>
      <c r="AR31">
        <v>62</v>
      </c>
      <c r="AS31">
        <v>273.29032258059999</v>
      </c>
      <c r="AT31">
        <v>19</v>
      </c>
      <c r="AU31">
        <v>199.8947368421</v>
      </c>
      <c r="AV31">
        <v>1</v>
      </c>
      <c r="AW31">
        <v>165</v>
      </c>
    </row>
    <row r="32" spans="6:49" x14ac:dyDescent="0.2">
      <c r="F32" t="s">
        <v>42</v>
      </c>
      <c r="G32">
        <v>12728</v>
      </c>
      <c r="H32">
        <v>10048</v>
      </c>
      <c r="I32">
        <v>348.80342390760001</v>
      </c>
      <c r="J32">
        <v>304</v>
      </c>
      <c r="K32">
        <v>690.1875</v>
      </c>
      <c r="L32">
        <v>1769</v>
      </c>
      <c r="M32">
        <v>526.74392312040004</v>
      </c>
      <c r="N32">
        <v>890</v>
      </c>
      <c r="O32">
        <v>553.6516853933</v>
      </c>
      <c r="R32">
        <v>21</v>
      </c>
      <c r="S32">
        <v>532.71428571429999</v>
      </c>
      <c r="V32" t="s">
        <v>400</v>
      </c>
      <c r="W32">
        <v>3361</v>
      </c>
      <c r="X32">
        <v>2177</v>
      </c>
      <c r="Y32">
        <v>465.91548001839999</v>
      </c>
      <c r="Z32">
        <v>336</v>
      </c>
      <c r="AA32">
        <v>467.85119047619997</v>
      </c>
      <c r="AB32">
        <v>552</v>
      </c>
      <c r="AC32">
        <v>617.03079710140003</v>
      </c>
      <c r="AD32">
        <v>493</v>
      </c>
      <c r="AE32">
        <v>579.92089249490004</v>
      </c>
      <c r="AF32">
        <v>134</v>
      </c>
      <c r="AG32">
        <v>166.69402985069999</v>
      </c>
      <c r="AH32">
        <v>5</v>
      </c>
      <c r="AI32">
        <v>580</v>
      </c>
      <c r="AL32" t="s">
        <v>400</v>
      </c>
      <c r="AM32">
        <v>139</v>
      </c>
      <c r="AN32">
        <v>114</v>
      </c>
      <c r="AO32">
        <v>443.99122807020001</v>
      </c>
      <c r="AP32">
        <v>6</v>
      </c>
      <c r="AQ32">
        <v>488</v>
      </c>
      <c r="AR32">
        <v>23</v>
      </c>
      <c r="AS32">
        <v>308.08695652170002</v>
      </c>
      <c r="AT32">
        <v>1</v>
      </c>
      <c r="AU32">
        <v>240</v>
      </c>
      <c r="AV32">
        <v>1</v>
      </c>
      <c r="AW32">
        <v>598</v>
      </c>
    </row>
    <row r="33" spans="6:49" x14ac:dyDescent="0.2">
      <c r="F33" t="s">
        <v>75</v>
      </c>
      <c r="G33">
        <v>6149</v>
      </c>
      <c r="H33">
        <v>2984</v>
      </c>
      <c r="I33">
        <v>368.00938967140002</v>
      </c>
      <c r="J33">
        <v>342</v>
      </c>
      <c r="K33">
        <v>666.98538011699998</v>
      </c>
      <c r="L33">
        <v>2138</v>
      </c>
      <c r="M33">
        <v>709.86669784850005</v>
      </c>
      <c r="N33">
        <v>1026</v>
      </c>
      <c r="O33">
        <v>959.33625730990002</v>
      </c>
      <c r="R33">
        <v>1</v>
      </c>
      <c r="S33">
        <v>1538</v>
      </c>
      <c r="V33" t="s">
        <v>391</v>
      </c>
      <c r="W33">
        <v>7050</v>
      </c>
      <c r="X33">
        <v>4387</v>
      </c>
      <c r="Y33">
        <v>269.91702758150001</v>
      </c>
      <c r="Z33">
        <v>456</v>
      </c>
      <c r="AA33">
        <v>607.77412280700003</v>
      </c>
      <c r="AB33">
        <v>1444</v>
      </c>
      <c r="AC33">
        <v>386.4203601108</v>
      </c>
      <c r="AD33">
        <v>826</v>
      </c>
      <c r="AE33">
        <v>439.66949152540002</v>
      </c>
      <c r="AF33">
        <v>381</v>
      </c>
      <c r="AG33">
        <v>189.0262467192</v>
      </c>
      <c r="AH33">
        <v>12</v>
      </c>
      <c r="AI33">
        <v>405.5833333333</v>
      </c>
      <c r="AL33" t="s">
        <v>391</v>
      </c>
      <c r="AM33">
        <v>254</v>
      </c>
      <c r="AN33">
        <v>193</v>
      </c>
      <c r="AO33">
        <v>284.88082901550001</v>
      </c>
      <c r="AP33">
        <v>18</v>
      </c>
      <c r="AQ33">
        <v>551.66666666670005</v>
      </c>
      <c r="AR33">
        <v>51</v>
      </c>
      <c r="AS33">
        <v>315.4117647059</v>
      </c>
      <c r="AT33">
        <v>10</v>
      </c>
      <c r="AU33">
        <v>228.4</v>
      </c>
    </row>
    <row r="34" spans="6:49" x14ac:dyDescent="0.2">
      <c r="F34" t="s">
        <v>61</v>
      </c>
      <c r="G34">
        <v>6488</v>
      </c>
      <c r="H34">
        <v>4262</v>
      </c>
      <c r="I34">
        <v>250.9802909432</v>
      </c>
      <c r="J34">
        <v>454</v>
      </c>
      <c r="K34">
        <v>590.41189427309996</v>
      </c>
      <c r="L34">
        <v>1389</v>
      </c>
      <c r="M34">
        <v>352.66954643629998</v>
      </c>
      <c r="N34">
        <v>826</v>
      </c>
      <c r="O34">
        <v>433.17312348669998</v>
      </c>
      <c r="R34">
        <v>11</v>
      </c>
      <c r="S34">
        <v>422.36363636359999</v>
      </c>
      <c r="V34" t="s">
        <v>434</v>
      </c>
      <c r="W34">
        <v>6219</v>
      </c>
      <c r="X34">
        <v>2893</v>
      </c>
      <c r="Y34">
        <v>368.55947441220002</v>
      </c>
      <c r="Z34">
        <v>336</v>
      </c>
      <c r="AA34">
        <v>661.41964285710003</v>
      </c>
      <c r="AB34">
        <v>2077</v>
      </c>
      <c r="AC34">
        <v>709.57342320650002</v>
      </c>
      <c r="AD34">
        <v>1000</v>
      </c>
      <c r="AE34">
        <v>955.12199999999996</v>
      </c>
      <c r="AF34">
        <v>248</v>
      </c>
      <c r="AG34">
        <v>184.69758064519999</v>
      </c>
      <c r="AH34">
        <v>1</v>
      </c>
      <c r="AI34">
        <v>1538</v>
      </c>
      <c r="AL34" t="s">
        <v>434</v>
      </c>
      <c r="AM34">
        <v>139</v>
      </c>
      <c r="AN34">
        <v>102</v>
      </c>
      <c r="AO34">
        <v>274.2156862745</v>
      </c>
      <c r="AP34">
        <v>24</v>
      </c>
      <c r="AQ34">
        <v>509.4583333333</v>
      </c>
      <c r="AR34">
        <v>29</v>
      </c>
      <c r="AS34">
        <v>309.62068965520001</v>
      </c>
      <c r="AT34">
        <v>8</v>
      </c>
      <c r="AU34">
        <v>165.375</v>
      </c>
    </row>
    <row r="35" spans="6:49" x14ac:dyDescent="0.2">
      <c r="F35" t="s">
        <v>56</v>
      </c>
      <c r="G35">
        <v>4844</v>
      </c>
      <c r="H35">
        <v>3268</v>
      </c>
      <c r="I35">
        <v>493.01560587519998</v>
      </c>
      <c r="J35">
        <v>460</v>
      </c>
      <c r="K35">
        <v>496.20869565219999</v>
      </c>
      <c r="L35">
        <v>859</v>
      </c>
      <c r="M35">
        <v>600.96158323630004</v>
      </c>
      <c r="N35">
        <v>709</v>
      </c>
      <c r="O35">
        <v>593.33850493650004</v>
      </c>
      <c r="R35">
        <v>8</v>
      </c>
      <c r="S35">
        <v>580.5</v>
      </c>
      <c r="V35" t="s">
        <v>390</v>
      </c>
      <c r="W35">
        <v>13008</v>
      </c>
      <c r="X35">
        <v>9944</v>
      </c>
      <c r="Y35">
        <v>352.20728150460002</v>
      </c>
      <c r="Z35">
        <v>315</v>
      </c>
      <c r="AA35">
        <v>684.6317460317</v>
      </c>
      <c r="AB35">
        <v>1770</v>
      </c>
      <c r="AC35">
        <v>527.93954802259998</v>
      </c>
      <c r="AD35">
        <v>889</v>
      </c>
      <c r="AE35">
        <v>546.79415073120003</v>
      </c>
      <c r="AF35">
        <v>383</v>
      </c>
      <c r="AG35">
        <v>169.85340314140001</v>
      </c>
      <c r="AH35">
        <v>22</v>
      </c>
      <c r="AI35">
        <v>566.22727272730003</v>
      </c>
      <c r="AL35" t="s">
        <v>390</v>
      </c>
      <c r="AM35">
        <v>175</v>
      </c>
      <c r="AN35">
        <v>137</v>
      </c>
      <c r="AO35">
        <v>296.97080291970002</v>
      </c>
      <c r="AP35">
        <v>29</v>
      </c>
      <c r="AQ35">
        <v>362.4827586207</v>
      </c>
      <c r="AR35">
        <v>33</v>
      </c>
      <c r="AS35">
        <v>225.7272727273</v>
      </c>
      <c r="AT35">
        <v>5</v>
      </c>
      <c r="AU35">
        <v>328.4</v>
      </c>
    </row>
    <row r="36" spans="6:49" x14ac:dyDescent="0.2">
      <c r="F36" t="s">
        <v>60</v>
      </c>
      <c r="G36">
        <v>10270</v>
      </c>
      <c r="H36">
        <v>5300</v>
      </c>
      <c r="I36">
        <v>269.99867899600002</v>
      </c>
      <c r="J36">
        <v>630</v>
      </c>
      <c r="K36">
        <v>635.22380952380001</v>
      </c>
      <c r="L36">
        <v>3692</v>
      </c>
      <c r="M36">
        <v>816.27708559049995</v>
      </c>
      <c r="N36">
        <v>1254</v>
      </c>
      <c r="O36">
        <v>510.77174780529998</v>
      </c>
      <c r="R36">
        <v>24</v>
      </c>
      <c r="S36">
        <v>561.95833333329995</v>
      </c>
      <c r="V36" t="s">
        <v>387</v>
      </c>
      <c r="W36">
        <v>88793</v>
      </c>
      <c r="X36">
        <v>65948</v>
      </c>
      <c r="Y36">
        <v>425.1665276535</v>
      </c>
      <c r="Z36">
        <v>3873</v>
      </c>
      <c r="AA36">
        <v>695.57242447709996</v>
      </c>
      <c r="AB36">
        <v>12238</v>
      </c>
      <c r="AC36">
        <v>616.2917960451</v>
      </c>
      <c r="AD36">
        <v>7460</v>
      </c>
      <c r="AE36">
        <v>506.00134084199999</v>
      </c>
      <c r="AF36">
        <v>3051</v>
      </c>
      <c r="AG36">
        <v>177.50672351590001</v>
      </c>
      <c r="AH36">
        <v>96</v>
      </c>
      <c r="AI36">
        <v>500.0729166667</v>
      </c>
      <c r="AL36" t="s">
        <v>387</v>
      </c>
      <c r="AM36">
        <v>2007</v>
      </c>
      <c r="AN36">
        <v>1600</v>
      </c>
      <c r="AO36">
        <v>333.89187500000003</v>
      </c>
      <c r="AP36">
        <v>317</v>
      </c>
      <c r="AQ36">
        <v>547.44479495270002</v>
      </c>
      <c r="AR36">
        <v>344</v>
      </c>
      <c r="AS36">
        <v>323.4796511628</v>
      </c>
      <c r="AT36">
        <v>60</v>
      </c>
      <c r="AU36">
        <v>199.4333333333</v>
      </c>
      <c r="AV36">
        <v>3</v>
      </c>
      <c r="AW36">
        <v>254.6666666667</v>
      </c>
    </row>
    <row r="37" spans="6:49" x14ac:dyDescent="0.2">
      <c r="F37" t="s">
        <v>80</v>
      </c>
      <c r="G37">
        <v>29736</v>
      </c>
      <c r="H37">
        <v>26651</v>
      </c>
      <c r="I37">
        <v>445.95984839959999</v>
      </c>
      <c r="J37">
        <v>1140</v>
      </c>
      <c r="K37">
        <v>730.10526315790003</v>
      </c>
      <c r="L37">
        <v>1116</v>
      </c>
      <c r="M37">
        <v>242.66845878140001</v>
      </c>
      <c r="N37">
        <v>1967</v>
      </c>
      <c r="O37">
        <v>314.41128622270003</v>
      </c>
      <c r="R37">
        <v>2</v>
      </c>
      <c r="S37">
        <v>399.5</v>
      </c>
      <c r="V37" t="s">
        <v>413</v>
      </c>
      <c r="W37">
        <v>577</v>
      </c>
      <c r="X37">
        <v>309</v>
      </c>
      <c r="Y37">
        <v>112.3754045307</v>
      </c>
      <c r="Z37">
        <v>218</v>
      </c>
      <c r="AA37">
        <v>211.4311926606</v>
      </c>
      <c r="AB37">
        <v>111</v>
      </c>
      <c r="AC37">
        <v>173.63963963960001</v>
      </c>
      <c r="AD37">
        <v>106</v>
      </c>
      <c r="AE37">
        <v>224.86792452829999</v>
      </c>
      <c r="AF37">
        <v>48</v>
      </c>
      <c r="AG37">
        <v>172.8958333333</v>
      </c>
      <c r="AH37">
        <v>3</v>
      </c>
      <c r="AI37">
        <v>333</v>
      </c>
      <c r="AL37" t="s">
        <v>413</v>
      </c>
      <c r="AM37">
        <v>26</v>
      </c>
      <c r="AN37">
        <v>20</v>
      </c>
      <c r="AO37">
        <v>83.85</v>
      </c>
      <c r="AP37">
        <v>10</v>
      </c>
      <c r="AQ37">
        <v>227.2</v>
      </c>
      <c r="AR37">
        <v>6</v>
      </c>
      <c r="AS37">
        <v>210.3333333333</v>
      </c>
    </row>
    <row r="38" spans="6:49" x14ac:dyDescent="0.2">
      <c r="F38" t="s">
        <v>387</v>
      </c>
      <c r="G38">
        <v>87546</v>
      </c>
      <c r="H38">
        <v>67507</v>
      </c>
      <c r="I38">
        <v>425.77294478440001</v>
      </c>
      <c r="J38">
        <v>3932</v>
      </c>
      <c r="K38">
        <v>690.74974567649997</v>
      </c>
      <c r="L38">
        <v>12360</v>
      </c>
      <c r="M38">
        <v>610.01132686079995</v>
      </c>
      <c r="N38">
        <v>7586</v>
      </c>
      <c r="O38">
        <v>508.08359704639997</v>
      </c>
      <c r="R38">
        <v>93</v>
      </c>
      <c r="S38">
        <v>504.3548387097</v>
      </c>
      <c r="V38" t="s">
        <v>417</v>
      </c>
      <c r="W38">
        <v>40379</v>
      </c>
      <c r="X38">
        <v>28655</v>
      </c>
      <c r="Y38">
        <v>452.1935438841</v>
      </c>
      <c r="Z38">
        <v>2130</v>
      </c>
      <c r="AA38">
        <v>705.98122065730001</v>
      </c>
      <c r="AB38">
        <v>8187</v>
      </c>
      <c r="AC38">
        <v>741.7844143154</v>
      </c>
      <c r="AD38">
        <v>2328</v>
      </c>
      <c r="AE38">
        <v>552.4144453998</v>
      </c>
      <c r="AF38">
        <v>1136</v>
      </c>
      <c r="AG38">
        <v>183.14436619719999</v>
      </c>
      <c r="AH38">
        <v>73</v>
      </c>
      <c r="AI38">
        <v>489.69863013700001</v>
      </c>
      <c r="AL38" t="s">
        <v>417</v>
      </c>
      <c r="AM38">
        <v>773</v>
      </c>
      <c r="AN38">
        <v>556</v>
      </c>
      <c r="AO38">
        <v>432.57553956829997</v>
      </c>
      <c r="AP38">
        <v>201</v>
      </c>
      <c r="AQ38">
        <v>489.83582089549998</v>
      </c>
      <c r="AR38">
        <v>183</v>
      </c>
      <c r="AS38">
        <v>441.47540983610003</v>
      </c>
      <c r="AT38">
        <v>34</v>
      </c>
      <c r="AU38">
        <v>494.3823529412</v>
      </c>
    </row>
    <row r="39" spans="6:49" x14ac:dyDescent="0.2">
      <c r="F39" t="s">
        <v>82</v>
      </c>
      <c r="G39">
        <v>19585</v>
      </c>
      <c r="H39">
        <v>14669</v>
      </c>
      <c r="I39">
        <v>397.23069057200001</v>
      </c>
      <c r="J39">
        <v>979</v>
      </c>
      <c r="K39">
        <v>685.73442288050001</v>
      </c>
      <c r="L39">
        <v>3791</v>
      </c>
      <c r="M39">
        <v>782.50883671849999</v>
      </c>
      <c r="N39">
        <v>1081</v>
      </c>
      <c r="O39">
        <v>533.6558741906</v>
      </c>
      <c r="R39">
        <v>44</v>
      </c>
      <c r="S39">
        <v>521.68181818180005</v>
      </c>
      <c r="V39" t="s">
        <v>425</v>
      </c>
      <c r="W39">
        <v>407</v>
      </c>
      <c r="X39">
        <v>189</v>
      </c>
      <c r="Y39">
        <v>154.50793650790001</v>
      </c>
      <c r="Z39">
        <v>94</v>
      </c>
      <c r="AA39">
        <v>234.48936170210001</v>
      </c>
      <c r="AB39">
        <v>128</v>
      </c>
      <c r="AC39">
        <v>290.8203125</v>
      </c>
      <c r="AD39">
        <v>63</v>
      </c>
      <c r="AE39">
        <v>411.98412698409999</v>
      </c>
      <c r="AF39">
        <v>26</v>
      </c>
      <c r="AG39">
        <v>246.88461538460001</v>
      </c>
      <c r="AH39">
        <v>1</v>
      </c>
      <c r="AI39">
        <v>683</v>
      </c>
      <c r="AL39" t="s">
        <v>425</v>
      </c>
      <c r="AM39">
        <v>7</v>
      </c>
      <c r="AN39">
        <v>6</v>
      </c>
      <c r="AO39">
        <v>172.5</v>
      </c>
      <c r="AP39">
        <v>3</v>
      </c>
      <c r="AQ39">
        <v>150.3333333333</v>
      </c>
      <c r="AR39">
        <v>1</v>
      </c>
      <c r="AS39">
        <v>103</v>
      </c>
    </row>
    <row r="40" spans="6:49" x14ac:dyDescent="0.2">
      <c r="F40" t="s">
        <v>43</v>
      </c>
      <c r="G40">
        <v>6204</v>
      </c>
      <c r="H40">
        <v>3426</v>
      </c>
      <c r="I40">
        <v>245.6018680677</v>
      </c>
      <c r="J40">
        <v>187</v>
      </c>
      <c r="K40">
        <v>523.20320855609998</v>
      </c>
      <c r="L40">
        <v>2413</v>
      </c>
      <c r="M40">
        <v>692.12929962700002</v>
      </c>
      <c r="N40">
        <v>361</v>
      </c>
      <c r="O40">
        <v>411.37396121879999</v>
      </c>
      <c r="R40">
        <v>4</v>
      </c>
      <c r="S40">
        <v>319.75</v>
      </c>
      <c r="V40" t="s">
        <v>428</v>
      </c>
      <c r="W40">
        <v>349</v>
      </c>
      <c r="X40">
        <v>254</v>
      </c>
      <c r="Y40">
        <v>296.58267716540001</v>
      </c>
      <c r="Z40">
        <v>30</v>
      </c>
      <c r="AA40">
        <v>446.8</v>
      </c>
      <c r="AB40">
        <v>34</v>
      </c>
      <c r="AC40">
        <v>479.26470588239999</v>
      </c>
      <c r="AD40">
        <v>31</v>
      </c>
      <c r="AE40">
        <v>348.58064516130003</v>
      </c>
      <c r="AF40">
        <v>29</v>
      </c>
      <c r="AG40">
        <v>181.82758620690001</v>
      </c>
      <c r="AH40">
        <v>1</v>
      </c>
      <c r="AI40">
        <v>393</v>
      </c>
      <c r="AL40" t="s">
        <v>428</v>
      </c>
      <c r="AM40">
        <v>8</v>
      </c>
      <c r="AN40">
        <v>2</v>
      </c>
      <c r="AO40">
        <v>453.5</v>
      </c>
      <c r="AR40">
        <v>6</v>
      </c>
      <c r="AS40">
        <v>181</v>
      </c>
    </row>
    <row r="41" spans="6:49" x14ac:dyDescent="0.2">
      <c r="F41" t="s">
        <v>49</v>
      </c>
      <c r="G41">
        <v>19823</v>
      </c>
      <c r="H41">
        <v>14143</v>
      </c>
      <c r="I41">
        <v>514.11051403520003</v>
      </c>
      <c r="J41">
        <v>1178</v>
      </c>
      <c r="K41">
        <v>739.5899830221</v>
      </c>
      <c r="L41">
        <v>4437</v>
      </c>
      <c r="M41">
        <v>711.29163849450003</v>
      </c>
      <c r="N41">
        <v>1215</v>
      </c>
      <c r="O41">
        <v>580.7477328937</v>
      </c>
      <c r="R41">
        <v>28</v>
      </c>
      <c r="S41">
        <v>442.5</v>
      </c>
      <c r="V41" t="s">
        <v>418</v>
      </c>
      <c r="W41">
        <v>5299</v>
      </c>
      <c r="X41">
        <v>4071</v>
      </c>
      <c r="Y41">
        <v>480.18398427900001</v>
      </c>
      <c r="Z41">
        <v>229</v>
      </c>
      <c r="AA41">
        <v>730.47161572050004</v>
      </c>
      <c r="AB41">
        <v>530</v>
      </c>
      <c r="AC41">
        <v>287.30566037739999</v>
      </c>
      <c r="AD41">
        <v>475</v>
      </c>
      <c r="AE41">
        <v>587.14526315789999</v>
      </c>
      <c r="AF41">
        <v>220</v>
      </c>
      <c r="AG41">
        <v>206.2</v>
      </c>
      <c r="AH41">
        <v>3</v>
      </c>
      <c r="AI41">
        <v>177</v>
      </c>
      <c r="AL41" t="s">
        <v>418</v>
      </c>
      <c r="AM41">
        <v>186</v>
      </c>
      <c r="AN41">
        <v>150</v>
      </c>
      <c r="AO41">
        <v>421.46666666670001</v>
      </c>
      <c r="AP41">
        <v>12</v>
      </c>
      <c r="AQ41">
        <v>878.33333333329995</v>
      </c>
      <c r="AR41">
        <v>32</v>
      </c>
      <c r="AS41">
        <v>307.09375</v>
      </c>
      <c r="AT41">
        <v>4</v>
      </c>
      <c r="AU41">
        <v>140.25</v>
      </c>
    </row>
    <row r="42" spans="6:49" x14ac:dyDescent="0.2">
      <c r="F42" t="s">
        <v>52</v>
      </c>
      <c r="G42">
        <v>4589</v>
      </c>
      <c r="H42">
        <v>3026</v>
      </c>
      <c r="I42">
        <v>301.10112359549998</v>
      </c>
      <c r="J42">
        <v>319</v>
      </c>
      <c r="K42">
        <v>561.7680250784</v>
      </c>
      <c r="L42">
        <v>1011</v>
      </c>
      <c r="M42">
        <v>403.84569732940002</v>
      </c>
      <c r="N42">
        <v>545</v>
      </c>
      <c r="O42">
        <v>592.97614678900004</v>
      </c>
      <c r="R42">
        <v>7</v>
      </c>
      <c r="S42">
        <v>571.42857142859998</v>
      </c>
      <c r="V42" t="s">
        <v>410</v>
      </c>
      <c r="W42">
        <v>6353</v>
      </c>
      <c r="X42">
        <v>3424</v>
      </c>
      <c r="Y42">
        <v>254.29497663550001</v>
      </c>
      <c r="Z42">
        <v>176</v>
      </c>
      <c r="AA42">
        <v>546.6875</v>
      </c>
      <c r="AB42">
        <v>2312</v>
      </c>
      <c r="AC42">
        <v>680.76816609000002</v>
      </c>
      <c r="AD42">
        <v>361</v>
      </c>
      <c r="AE42">
        <v>427.16620498610001</v>
      </c>
      <c r="AF42">
        <v>252</v>
      </c>
      <c r="AG42">
        <v>190.49206349209999</v>
      </c>
      <c r="AH42">
        <v>4</v>
      </c>
      <c r="AI42">
        <v>319.75</v>
      </c>
      <c r="AL42" t="s">
        <v>410</v>
      </c>
      <c r="AM42">
        <v>111</v>
      </c>
      <c r="AN42">
        <v>60</v>
      </c>
      <c r="AO42">
        <v>251.25</v>
      </c>
      <c r="AP42">
        <v>25</v>
      </c>
      <c r="AQ42">
        <v>249.12</v>
      </c>
      <c r="AR42">
        <v>49</v>
      </c>
      <c r="AS42">
        <v>656.22448979590001</v>
      </c>
      <c r="AT42">
        <v>2</v>
      </c>
      <c r="AU42">
        <v>171</v>
      </c>
    </row>
    <row r="43" spans="6:49" x14ac:dyDescent="0.2">
      <c r="F43" t="s">
        <v>39</v>
      </c>
      <c r="G43">
        <v>301</v>
      </c>
      <c r="H43">
        <v>245</v>
      </c>
      <c r="I43">
        <v>305.12653061219999</v>
      </c>
      <c r="J43">
        <v>29</v>
      </c>
      <c r="K43">
        <v>443.5172413793</v>
      </c>
      <c r="L43">
        <v>22</v>
      </c>
      <c r="M43">
        <v>366.40909090909997</v>
      </c>
      <c r="N43">
        <v>33</v>
      </c>
      <c r="O43">
        <v>335.36363636359999</v>
      </c>
      <c r="R43">
        <v>1</v>
      </c>
      <c r="S43">
        <v>393</v>
      </c>
      <c r="V43" t="s">
        <v>419</v>
      </c>
      <c r="W43">
        <v>4637</v>
      </c>
      <c r="X43">
        <v>2636</v>
      </c>
      <c r="Y43">
        <v>179.62784522000001</v>
      </c>
      <c r="Z43">
        <v>497</v>
      </c>
      <c r="AA43">
        <v>313.80885311869997</v>
      </c>
      <c r="AB43">
        <v>1126</v>
      </c>
      <c r="AC43">
        <v>234.57637655420001</v>
      </c>
      <c r="AD43">
        <v>591</v>
      </c>
      <c r="AE43">
        <v>318.9340101523</v>
      </c>
      <c r="AF43">
        <v>280</v>
      </c>
      <c r="AG43">
        <v>185.1392857143</v>
      </c>
      <c r="AH43">
        <v>4</v>
      </c>
      <c r="AI43">
        <v>231.5</v>
      </c>
      <c r="AL43" t="s">
        <v>419</v>
      </c>
      <c r="AM43">
        <v>103</v>
      </c>
      <c r="AN43">
        <v>70</v>
      </c>
      <c r="AO43">
        <v>175.1285714286</v>
      </c>
      <c r="AP43">
        <v>41</v>
      </c>
      <c r="AQ43">
        <v>216.9024390244</v>
      </c>
      <c r="AR43">
        <v>26</v>
      </c>
      <c r="AS43">
        <v>146.26923076919999</v>
      </c>
      <c r="AT43">
        <v>6</v>
      </c>
      <c r="AU43">
        <v>266.6666666667</v>
      </c>
      <c r="AV43">
        <v>1</v>
      </c>
      <c r="AW43">
        <v>129</v>
      </c>
    </row>
    <row r="44" spans="6:49" x14ac:dyDescent="0.2">
      <c r="F44" t="s">
        <v>27</v>
      </c>
      <c r="G44">
        <v>4303</v>
      </c>
      <c r="H44">
        <v>2577</v>
      </c>
      <c r="I44">
        <v>168.3410942957</v>
      </c>
      <c r="J44">
        <v>506</v>
      </c>
      <c r="K44">
        <v>313.80632411070002</v>
      </c>
      <c r="L44">
        <v>1118</v>
      </c>
      <c r="M44">
        <v>227.5026833631</v>
      </c>
      <c r="N44">
        <v>604</v>
      </c>
      <c r="O44">
        <v>313.35761589399999</v>
      </c>
      <c r="R44">
        <v>4</v>
      </c>
      <c r="S44">
        <v>231.5</v>
      </c>
      <c r="V44" t="s">
        <v>394</v>
      </c>
      <c r="W44">
        <v>5870</v>
      </c>
      <c r="X44">
        <v>4747</v>
      </c>
      <c r="Y44">
        <v>431.75226458819998</v>
      </c>
      <c r="Z44">
        <v>408</v>
      </c>
      <c r="AA44">
        <v>652.1151960784</v>
      </c>
      <c r="AB44">
        <v>555</v>
      </c>
      <c r="AC44">
        <v>411.66846846850001</v>
      </c>
      <c r="AD44">
        <v>382</v>
      </c>
      <c r="AE44">
        <v>432.1151832461</v>
      </c>
      <c r="AF44">
        <v>172</v>
      </c>
      <c r="AG44">
        <v>192.76162790699999</v>
      </c>
      <c r="AH44">
        <v>14</v>
      </c>
      <c r="AI44">
        <v>369.42857142859998</v>
      </c>
      <c r="AL44" t="s">
        <v>394</v>
      </c>
      <c r="AM44">
        <v>200</v>
      </c>
      <c r="AN44">
        <v>162</v>
      </c>
      <c r="AO44">
        <v>391.3333333333</v>
      </c>
      <c r="AP44">
        <v>11</v>
      </c>
      <c r="AQ44">
        <v>639</v>
      </c>
      <c r="AR44">
        <v>37</v>
      </c>
      <c r="AS44">
        <v>246.72972972970001</v>
      </c>
      <c r="AT44">
        <v>1</v>
      </c>
      <c r="AU44">
        <v>103</v>
      </c>
    </row>
    <row r="45" spans="6:49" x14ac:dyDescent="0.2">
      <c r="F45" t="s">
        <v>54</v>
      </c>
      <c r="G45">
        <v>5233</v>
      </c>
      <c r="H45">
        <v>4210</v>
      </c>
      <c r="I45">
        <v>481.92232779099999</v>
      </c>
      <c r="J45">
        <v>229</v>
      </c>
      <c r="K45">
        <v>730.89519650659997</v>
      </c>
      <c r="L45">
        <v>534</v>
      </c>
      <c r="M45">
        <v>274.09176029960003</v>
      </c>
      <c r="N45">
        <v>485</v>
      </c>
      <c r="O45">
        <v>603.53195876289999</v>
      </c>
      <c r="R45">
        <v>4</v>
      </c>
      <c r="S45">
        <v>233.75</v>
      </c>
      <c r="V45" t="s">
        <v>396</v>
      </c>
      <c r="W45">
        <v>4828</v>
      </c>
      <c r="X45">
        <v>3093</v>
      </c>
      <c r="Y45">
        <v>310.49466537339998</v>
      </c>
      <c r="Z45">
        <v>328</v>
      </c>
      <c r="AA45">
        <v>569.20731707319999</v>
      </c>
      <c r="AB45">
        <v>1015</v>
      </c>
      <c r="AC45">
        <v>416.07093596060002</v>
      </c>
      <c r="AD45">
        <v>551</v>
      </c>
      <c r="AE45">
        <v>599.30490018149999</v>
      </c>
      <c r="AF45">
        <v>162</v>
      </c>
      <c r="AG45">
        <v>226.7222222222</v>
      </c>
      <c r="AH45">
        <v>7</v>
      </c>
      <c r="AI45">
        <v>571.42857142859998</v>
      </c>
      <c r="AL45" t="s">
        <v>396</v>
      </c>
      <c r="AM45">
        <v>170</v>
      </c>
      <c r="AN45">
        <v>128</v>
      </c>
      <c r="AO45">
        <v>338.0703125</v>
      </c>
      <c r="AP45">
        <v>7</v>
      </c>
      <c r="AQ45">
        <v>520</v>
      </c>
      <c r="AR45">
        <v>41</v>
      </c>
      <c r="AS45">
        <v>373.51219512199998</v>
      </c>
      <c r="AT45">
        <v>1</v>
      </c>
      <c r="AU45">
        <v>491</v>
      </c>
    </row>
    <row r="46" spans="6:49" x14ac:dyDescent="0.2">
      <c r="F46" t="s">
        <v>62</v>
      </c>
      <c r="G46">
        <v>5734</v>
      </c>
      <c r="H46">
        <v>4782</v>
      </c>
      <c r="I46">
        <v>432.7199916353</v>
      </c>
      <c r="J46">
        <v>405</v>
      </c>
      <c r="K46">
        <v>642.44691358019998</v>
      </c>
      <c r="L46">
        <v>550</v>
      </c>
      <c r="M46">
        <v>383.08</v>
      </c>
      <c r="N46">
        <v>388</v>
      </c>
      <c r="O46">
        <v>438.02835051549999</v>
      </c>
      <c r="R46">
        <v>14</v>
      </c>
      <c r="S46">
        <v>369.42857142859998</v>
      </c>
      <c r="V46" t="s">
        <v>392</v>
      </c>
      <c r="W46">
        <v>68699</v>
      </c>
      <c r="X46">
        <v>47378</v>
      </c>
      <c r="Y46">
        <v>409.59487525859998</v>
      </c>
      <c r="Z46">
        <v>4110</v>
      </c>
      <c r="AA46">
        <v>597.93163017029997</v>
      </c>
      <c r="AB46">
        <v>13998</v>
      </c>
      <c r="AC46">
        <v>627.72624660669999</v>
      </c>
      <c r="AD46">
        <v>4888</v>
      </c>
      <c r="AE46">
        <v>503.96827670900001</v>
      </c>
      <c r="AF46">
        <v>2325</v>
      </c>
      <c r="AG46">
        <v>190.59526881720001</v>
      </c>
      <c r="AH46">
        <v>110</v>
      </c>
      <c r="AI46">
        <v>452.1</v>
      </c>
      <c r="AL46" t="s">
        <v>392</v>
      </c>
      <c r="AM46">
        <v>1584</v>
      </c>
      <c r="AN46">
        <v>1154</v>
      </c>
      <c r="AO46">
        <v>382.4558058925</v>
      </c>
      <c r="AP46">
        <v>310</v>
      </c>
      <c r="AQ46">
        <v>443.58064516130003</v>
      </c>
      <c r="AR46">
        <v>381</v>
      </c>
      <c r="AS46">
        <v>402.80577427819998</v>
      </c>
      <c r="AT46">
        <v>48</v>
      </c>
      <c r="AU46">
        <v>414.7083333333</v>
      </c>
      <c r="AV46">
        <v>1</v>
      </c>
      <c r="AW46">
        <v>129</v>
      </c>
    </row>
    <row r="47" spans="6:49" x14ac:dyDescent="0.2">
      <c r="F47" t="s">
        <v>187</v>
      </c>
      <c r="G47">
        <v>329</v>
      </c>
      <c r="H47">
        <v>150</v>
      </c>
      <c r="I47">
        <v>82.14</v>
      </c>
      <c r="J47">
        <v>91</v>
      </c>
      <c r="K47">
        <v>225.92307692310001</v>
      </c>
      <c r="L47">
        <v>116</v>
      </c>
      <c r="M47">
        <v>270.37931034479999</v>
      </c>
      <c r="N47">
        <v>62</v>
      </c>
      <c r="O47">
        <v>406.17741935480001</v>
      </c>
      <c r="R47">
        <v>1</v>
      </c>
      <c r="S47">
        <v>683</v>
      </c>
      <c r="V47" t="s">
        <v>423</v>
      </c>
      <c r="W47">
        <v>426</v>
      </c>
      <c r="X47">
        <v>286</v>
      </c>
      <c r="Y47">
        <v>266.42307692309998</v>
      </c>
      <c r="Z47">
        <v>42</v>
      </c>
      <c r="AA47">
        <v>388.09523809519999</v>
      </c>
      <c r="AB47">
        <v>42</v>
      </c>
      <c r="AC47">
        <v>408.64285714290003</v>
      </c>
      <c r="AD47">
        <v>72</v>
      </c>
      <c r="AE47">
        <v>275</v>
      </c>
      <c r="AF47">
        <v>24</v>
      </c>
      <c r="AG47">
        <v>175.4583333333</v>
      </c>
      <c r="AH47">
        <v>2</v>
      </c>
      <c r="AI47">
        <v>172</v>
      </c>
      <c r="AL47" t="s">
        <v>423</v>
      </c>
      <c r="AM47">
        <v>22</v>
      </c>
      <c r="AN47">
        <v>21</v>
      </c>
      <c r="AO47">
        <v>226.1428571429</v>
      </c>
      <c r="AP47">
        <v>5</v>
      </c>
      <c r="AQ47">
        <v>295</v>
      </c>
      <c r="AR47">
        <v>1</v>
      </c>
      <c r="AS47">
        <v>89</v>
      </c>
    </row>
    <row r="48" spans="6:49" x14ac:dyDescent="0.2">
      <c r="F48" t="s">
        <v>73</v>
      </c>
      <c r="G48">
        <v>613</v>
      </c>
      <c r="H48">
        <v>393</v>
      </c>
      <c r="I48">
        <v>101.8702290076</v>
      </c>
      <c r="J48">
        <v>229</v>
      </c>
      <c r="K48">
        <v>207.77292576420001</v>
      </c>
      <c r="L48">
        <v>103</v>
      </c>
      <c r="M48">
        <v>122.7184466019</v>
      </c>
      <c r="N48">
        <v>115</v>
      </c>
      <c r="O48">
        <v>195.4260869565</v>
      </c>
      <c r="R48">
        <v>2</v>
      </c>
      <c r="S48">
        <v>136.5</v>
      </c>
      <c r="V48" t="s">
        <v>424</v>
      </c>
      <c r="W48">
        <v>137</v>
      </c>
      <c r="X48">
        <v>85</v>
      </c>
      <c r="Y48">
        <v>175.1294117647</v>
      </c>
      <c r="Z48">
        <v>45</v>
      </c>
      <c r="AA48">
        <v>319.15555555560002</v>
      </c>
      <c r="AB48">
        <v>13</v>
      </c>
      <c r="AC48">
        <v>74.307692307699995</v>
      </c>
      <c r="AD48">
        <v>23</v>
      </c>
      <c r="AE48">
        <v>351.47826086959998</v>
      </c>
      <c r="AF48">
        <v>15</v>
      </c>
      <c r="AG48">
        <v>151.6666666667</v>
      </c>
      <c r="AH48">
        <v>1</v>
      </c>
      <c r="AI48">
        <v>115</v>
      </c>
      <c r="AL48" t="s">
        <v>424</v>
      </c>
      <c r="AM48">
        <v>12</v>
      </c>
      <c r="AN48">
        <v>11</v>
      </c>
      <c r="AO48">
        <v>157.2727272727</v>
      </c>
      <c r="AP48">
        <v>1</v>
      </c>
      <c r="AQ48">
        <v>235</v>
      </c>
      <c r="AT48">
        <v>1</v>
      </c>
      <c r="AU48">
        <v>555</v>
      </c>
    </row>
    <row r="49" spans="6:51" x14ac:dyDescent="0.2">
      <c r="F49" t="s">
        <v>392</v>
      </c>
      <c r="G49">
        <v>66714</v>
      </c>
      <c r="H49">
        <v>47621</v>
      </c>
      <c r="I49">
        <v>409.68675584300001</v>
      </c>
      <c r="J49">
        <v>4152</v>
      </c>
      <c r="K49">
        <v>598.98049132949996</v>
      </c>
      <c r="L49">
        <v>14095</v>
      </c>
      <c r="M49">
        <v>628.90102873360001</v>
      </c>
      <c r="N49">
        <v>4889</v>
      </c>
      <c r="O49">
        <v>504.1266625742</v>
      </c>
      <c r="R49">
        <v>109</v>
      </c>
      <c r="S49">
        <v>449.58715596330001</v>
      </c>
      <c r="V49" t="s">
        <v>430</v>
      </c>
      <c r="W49">
        <v>591</v>
      </c>
      <c r="X49">
        <v>360</v>
      </c>
      <c r="Y49">
        <v>358.25833333330002</v>
      </c>
      <c r="Z49">
        <v>45</v>
      </c>
      <c r="AA49">
        <v>547.53333333329999</v>
      </c>
      <c r="AB49">
        <v>128</v>
      </c>
      <c r="AC49">
        <v>456.328125</v>
      </c>
      <c r="AD49">
        <v>71</v>
      </c>
      <c r="AE49">
        <v>567.28169014080004</v>
      </c>
      <c r="AF49">
        <v>32</v>
      </c>
      <c r="AG49">
        <v>132.53125</v>
      </c>
      <c r="AL49" t="s">
        <v>430</v>
      </c>
      <c r="AM49">
        <v>19</v>
      </c>
      <c r="AN49">
        <v>15</v>
      </c>
      <c r="AO49">
        <v>259.93333333330003</v>
      </c>
      <c r="AP49">
        <v>3</v>
      </c>
      <c r="AQ49">
        <v>361.3333333333</v>
      </c>
      <c r="AR49">
        <v>1</v>
      </c>
      <c r="AS49">
        <v>103</v>
      </c>
      <c r="AT49">
        <v>1</v>
      </c>
      <c r="AU49">
        <v>530</v>
      </c>
      <c r="AV49">
        <v>1</v>
      </c>
      <c r="AW49">
        <v>414</v>
      </c>
      <c r="AX49">
        <v>1</v>
      </c>
      <c r="AY49">
        <v>369</v>
      </c>
    </row>
    <row r="50" spans="6:51" x14ac:dyDescent="0.2">
      <c r="F50" t="s">
        <v>218</v>
      </c>
      <c r="G50">
        <v>1966</v>
      </c>
      <c r="H50">
        <v>1383</v>
      </c>
      <c r="I50">
        <v>339.87563268259998</v>
      </c>
      <c r="J50">
        <v>639</v>
      </c>
      <c r="K50">
        <v>360.01721439750003</v>
      </c>
      <c r="L50">
        <v>497</v>
      </c>
      <c r="M50">
        <v>344.05030181090001</v>
      </c>
      <c r="N50">
        <v>86</v>
      </c>
      <c r="O50">
        <v>288.83720930229998</v>
      </c>
      <c r="V50" t="s">
        <v>383</v>
      </c>
      <c r="W50">
        <v>5603</v>
      </c>
      <c r="X50">
        <v>4361</v>
      </c>
      <c r="Y50">
        <v>541.76037606049999</v>
      </c>
      <c r="Z50">
        <v>249</v>
      </c>
      <c r="AA50">
        <v>929.84738955820001</v>
      </c>
      <c r="AB50">
        <v>902</v>
      </c>
      <c r="AC50">
        <v>838.41130820399997</v>
      </c>
      <c r="AD50">
        <v>261</v>
      </c>
      <c r="AE50">
        <v>633.1877394636</v>
      </c>
      <c r="AF50">
        <v>76</v>
      </c>
      <c r="AG50">
        <v>159</v>
      </c>
      <c r="AH50">
        <v>3</v>
      </c>
      <c r="AI50">
        <v>652</v>
      </c>
      <c r="AL50" t="s">
        <v>383</v>
      </c>
      <c r="AM50">
        <v>91</v>
      </c>
      <c r="AN50">
        <v>75</v>
      </c>
      <c r="AO50">
        <v>254.36</v>
      </c>
      <c r="AP50">
        <v>9</v>
      </c>
      <c r="AQ50">
        <v>377.3333333333</v>
      </c>
      <c r="AR50">
        <v>14</v>
      </c>
      <c r="AS50">
        <v>203.8571428571</v>
      </c>
      <c r="AT50">
        <v>2</v>
      </c>
      <c r="AU50">
        <v>456</v>
      </c>
    </row>
    <row r="51" spans="6:51" x14ac:dyDescent="0.2">
      <c r="F51" t="s">
        <v>215</v>
      </c>
      <c r="G51">
        <v>2791</v>
      </c>
      <c r="H51">
        <v>2196</v>
      </c>
      <c r="I51">
        <v>412.59289617489998</v>
      </c>
      <c r="J51">
        <v>172</v>
      </c>
      <c r="K51">
        <v>661.02325581399998</v>
      </c>
      <c r="L51">
        <v>543</v>
      </c>
      <c r="M51">
        <v>402.48066298340001</v>
      </c>
      <c r="N51">
        <v>52</v>
      </c>
      <c r="O51">
        <v>218.38461538460001</v>
      </c>
      <c r="V51" t="s">
        <v>63</v>
      </c>
      <c r="W51">
        <v>5453</v>
      </c>
      <c r="X51">
        <v>3665</v>
      </c>
      <c r="Y51">
        <v>255.6987721692</v>
      </c>
      <c r="Z51">
        <v>724</v>
      </c>
      <c r="AA51">
        <v>423.50276243090002</v>
      </c>
      <c r="AB51">
        <v>882</v>
      </c>
      <c r="AC51">
        <v>318.66553287980003</v>
      </c>
      <c r="AD51">
        <v>632</v>
      </c>
      <c r="AE51">
        <v>606.35601265820003</v>
      </c>
      <c r="AF51">
        <v>239</v>
      </c>
      <c r="AG51">
        <v>181.7364016736</v>
      </c>
      <c r="AH51">
        <v>35</v>
      </c>
      <c r="AI51">
        <v>597.48571428570006</v>
      </c>
      <c r="AL51" t="s">
        <v>63</v>
      </c>
      <c r="AM51">
        <v>254</v>
      </c>
      <c r="AN51">
        <v>200</v>
      </c>
      <c r="AO51">
        <v>283.34500000000003</v>
      </c>
      <c r="AP51">
        <v>34</v>
      </c>
      <c r="AQ51">
        <v>353.0294117647</v>
      </c>
      <c r="AR51">
        <v>43</v>
      </c>
      <c r="AS51">
        <v>236.58139534879999</v>
      </c>
      <c r="AT51">
        <v>11</v>
      </c>
      <c r="AU51">
        <v>144.1818181818</v>
      </c>
    </row>
    <row r="52" spans="6:51" x14ac:dyDescent="0.2">
      <c r="F52" t="s">
        <v>216</v>
      </c>
      <c r="G52">
        <v>2877</v>
      </c>
      <c r="H52">
        <v>2359</v>
      </c>
      <c r="I52">
        <v>289.92284866469998</v>
      </c>
      <c r="J52">
        <v>507</v>
      </c>
      <c r="K52">
        <v>441.57988165680001</v>
      </c>
      <c r="L52">
        <v>409</v>
      </c>
      <c r="M52">
        <v>231.69437652810001</v>
      </c>
      <c r="N52">
        <v>108</v>
      </c>
      <c r="O52">
        <v>222.85185185189999</v>
      </c>
      <c r="R52">
        <v>1</v>
      </c>
      <c r="S52">
        <v>369</v>
      </c>
      <c r="V52" t="s">
        <v>385</v>
      </c>
      <c r="W52">
        <v>14977</v>
      </c>
      <c r="X52">
        <v>10158</v>
      </c>
      <c r="Y52">
        <v>362.15368711230002</v>
      </c>
      <c r="Z52">
        <v>598</v>
      </c>
      <c r="AA52">
        <v>788.45652173910003</v>
      </c>
      <c r="AB52">
        <v>3727</v>
      </c>
      <c r="AC52">
        <v>803.52428226459995</v>
      </c>
      <c r="AD52">
        <v>762</v>
      </c>
      <c r="AE52">
        <v>540.66666666670005</v>
      </c>
      <c r="AF52">
        <v>325</v>
      </c>
      <c r="AG52">
        <v>175.91384615379999</v>
      </c>
      <c r="AH52">
        <v>5</v>
      </c>
      <c r="AI52">
        <v>181.6</v>
      </c>
      <c r="AL52" t="s">
        <v>385</v>
      </c>
      <c r="AM52">
        <v>168</v>
      </c>
      <c r="AN52">
        <v>135</v>
      </c>
      <c r="AO52">
        <v>236.26666666669999</v>
      </c>
      <c r="AP52">
        <v>29</v>
      </c>
      <c r="AQ52">
        <v>395.44827586209999</v>
      </c>
      <c r="AR52">
        <v>22</v>
      </c>
      <c r="AS52">
        <v>193.54545454550001</v>
      </c>
      <c r="AT52">
        <v>11</v>
      </c>
      <c r="AU52">
        <v>199.45454545449999</v>
      </c>
    </row>
    <row r="53" spans="6:51" x14ac:dyDescent="0.2">
      <c r="F53" t="s">
        <v>469</v>
      </c>
      <c r="G53">
        <v>7634</v>
      </c>
      <c r="H53">
        <v>5938</v>
      </c>
      <c r="I53">
        <v>346.92320646680002</v>
      </c>
      <c r="J53">
        <v>1318</v>
      </c>
      <c r="K53">
        <v>430.67374810320001</v>
      </c>
      <c r="L53">
        <v>1449</v>
      </c>
      <c r="M53">
        <v>334.23257418909998</v>
      </c>
      <c r="N53">
        <v>246</v>
      </c>
      <c r="O53">
        <v>244.9756097561</v>
      </c>
      <c r="R53">
        <v>1</v>
      </c>
      <c r="S53">
        <v>369</v>
      </c>
      <c r="V53" t="s">
        <v>381</v>
      </c>
      <c r="W53">
        <v>4152</v>
      </c>
      <c r="X53">
        <v>2909</v>
      </c>
      <c r="Y53">
        <v>327.30422825710002</v>
      </c>
      <c r="Z53">
        <v>380</v>
      </c>
      <c r="AA53">
        <v>518.86052631580003</v>
      </c>
      <c r="AB53">
        <v>533</v>
      </c>
      <c r="AC53">
        <v>301.87804878050002</v>
      </c>
      <c r="AD53">
        <v>554</v>
      </c>
      <c r="AE53">
        <v>496.9079422383</v>
      </c>
      <c r="AF53">
        <v>151</v>
      </c>
      <c r="AG53">
        <v>216.01324503309999</v>
      </c>
      <c r="AH53">
        <v>5</v>
      </c>
      <c r="AI53">
        <v>606.20000000000005</v>
      </c>
      <c r="AL53" t="s">
        <v>381</v>
      </c>
      <c r="AM53">
        <v>174</v>
      </c>
      <c r="AN53">
        <v>142</v>
      </c>
      <c r="AO53">
        <v>219.4647887324</v>
      </c>
      <c r="AP53">
        <v>33</v>
      </c>
      <c r="AQ53">
        <v>296.39393939389998</v>
      </c>
      <c r="AR53">
        <v>25</v>
      </c>
      <c r="AS53">
        <v>246.16</v>
      </c>
      <c r="AT53">
        <v>6</v>
      </c>
      <c r="AU53">
        <v>301.3333333333</v>
      </c>
      <c r="AV53">
        <v>1</v>
      </c>
      <c r="AW53">
        <v>283</v>
      </c>
    </row>
    <row r="54" spans="6:51" x14ac:dyDescent="0.2">
      <c r="F54" t="s">
        <v>81</v>
      </c>
      <c r="G54">
        <v>386</v>
      </c>
      <c r="H54">
        <v>285</v>
      </c>
      <c r="I54">
        <v>213.2842105263</v>
      </c>
      <c r="J54">
        <v>46</v>
      </c>
      <c r="K54">
        <v>354.10869565220003</v>
      </c>
      <c r="L54">
        <v>32</v>
      </c>
      <c r="M54">
        <v>344.34375</v>
      </c>
      <c r="N54">
        <v>67</v>
      </c>
      <c r="O54">
        <v>251.43283582090001</v>
      </c>
      <c r="R54">
        <v>2</v>
      </c>
      <c r="S54">
        <v>172</v>
      </c>
      <c r="V54" t="s">
        <v>380</v>
      </c>
      <c r="W54">
        <v>1087</v>
      </c>
      <c r="X54">
        <v>663</v>
      </c>
      <c r="Y54">
        <v>188.23378582199999</v>
      </c>
      <c r="Z54">
        <v>119</v>
      </c>
      <c r="AA54">
        <v>328.39495798320002</v>
      </c>
      <c r="AB54">
        <v>164</v>
      </c>
      <c r="AC54">
        <v>225.49390243900001</v>
      </c>
      <c r="AD54">
        <v>166</v>
      </c>
      <c r="AE54">
        <v>288.67469879520002</v>
      </c>
      <c r="AF54">
        <v>93</v>
      </c>
      <c r="AG54">
        <v>162.4301075269</v>
      </c>
      <c r="AH54">
        <v>1</v>
      </c>
      <c r="AI54">
        <v>131</v>
      </c>
      <c r="AL54" t="s">
        <v>380</v>
      </c>
      <c r="AM54">
        <v>50</v>
      </c>
      <c r="AN54">
        <v>44</v>
      </c>
      <c r="AO54">
        <v>239.6818181818</v>
      </c>
      <c r="AP54">
        <v>10</v>
      </c>
      <c r="AQ54">
        <v>288.89999999999998</v>
      </c>
      <c r="AR54">
        <v>6</v>
      </c>
      <c r="AS54">
        <v>211.1666666667</v>
      </c>
    </row>
    <row r="55" spans="6:51" x14ac:dyDescent="0.2">
      <c r="F55" t="s">
        <v>38</v>
      </c>
      <c r="G55">
        <v>3258</v>
      </c>
      <c r="H55">
        <v>2141</v>
      </c>
      <c r="I55">
        <v>452.96074766359999</v>
      </c>
      <c r="J55">
        <v>293</v>
      </c>
      <c r="K55">
        <v>591.29692832759997</v>
      </c>
      <c r="L55">
        <v>783</v>
      </c>
      <c r="M55">
        <v>589.72158365259997</v>
      </c>
      <c r="N55">
        <v>322</v>
      </c>
      <c r="O55">
        <v>631.64596273289999</v>
      </c>
      <c r="R55">
        <v>12</v>
      </c>
      <c r="S55">
        <v>176</v>
      </c>
      <c r="V55" t="s">
        <v>382</v>
      </c>
      <c r="W55">
        <v>7008</v>
      </c>
      <c r="X55">
        <v>4791</v>
      </c>
      <c r="Y55">
        <v>388.37466082240002</v>
      </c>
      <c r="Z55">
        <v>417</v>
      </c>
      <c r="AA55">
        <v>455.07194244599998</v>
      </c>
      <c r="AB55">
        <v>951</v>
      </c>
      <c r="AC55">
        <v>468.52576235539999</v>
      </c>
      <c r="AD55">
        <v>965</v>
      </c>
      <c r="AE55">
        <v>648.85388601039995</v>
      </c>
      <c r="AF55">
        <v>295</v>
      </c>
      <c r="AG55">
        <v>175.26440677970001</v>
      </c>
      <c r="AH55">
        <v>6</v>
      </c>
      <c r="AI55">
        <v>573</v>
      </c>
      <c r="AL55" t="s">
        <v>382</v>
      </c>
      <c r="AM55">
        <v>272</v>
      </c>
      <c r="AN55">
        <v>219</v>
      </c>
      <c r="AO55">
        <v>271.75799086759997</v>
      </c>
      <c r="AP55">
        <v>34</v>
      </c>
      <c r="AQ55">
        <v>323.0882352941</v>
      </c>
      <c r="AR55">
        <v>38</v>
      </c>
      <c r="AS55">
        <v>217</v>
      </c>
      <c r="AT55">
        <v>15</v>
      </c>
      <c r="AU55">
        <v>309.39999999999998</v>
      </c>
    </row>
    <row r="56" spans="6:51" x14ac:dyDescent="0.2">
      <c r="F56" t="s">
        <v>64</v>
      </c>
      <c r="G56">
        <v>2653</v>
      </c>
      <c r="H56">
        <v>2034</v>
      </c>
      <c r="I56">
        <v>341.92035398230001</v>
      </c>
      <c r="J56">
        <v>264</v>
      </c>
      <c r="K56">
        <v>589.28030303030005</v>
      </c>
      <c r="L56">
        <v>238</v>
      </c>
      <c r="M56">
        <v>98.974789916000006</v>
      </c>
      <c r="N56">
        <v>378</v>
      </c>
      <c r="O56">
        <v>439.79365079370001</v>
      </c>
      <c r="R56">
        <v>3</v>
      </c>
      <c r="S56">
        <v>671</v>
      </c>
      <c r="V56" t="s">
        <v>379</v>
      </c>
      <c r="W56">
        <v>350</v>
      </c>
      <c r="X56">
        <v>163</v>
      </c>
      <c r="Y56">
        <v>139.9877300613</v>
      </c>
      <c r="Z56">
        <v>67</v>
      </c>
      <c r="AA56">
        <v>200.74626865670001</v>
      </c>
      <c r="AB56">
        <v>86</v>
      </c>
      <c r="AC56">
        <v>159.7441860465</v>
      </c>
      <c r="AD56">
        <v>46</v>
      </c>
      <c r="AE56">
        <v>216.6086956522</v>
      </c>
      <c r="AF56">
        <v>53</v>
      </c>
      <c r="AG56">
        <v>194.96226415090001</v>
      </c>
      <c r="AH56">
        <v>2</v>
      </c>
      <c r="AI56">
        <v>82.5</v>
      </c>
      <c r="AL56" t="s">
        <v>379</v>
      </c>
      <c r="AM56">
        <v>21</v>
      </c>
      <c r="AN56">
        <v>14</v>
      </c>
      <c r="AO56">
        <v>275.64285714290003</v>
      </c>
      <c r="AP56">
        <v>4</v>
      </c>
      <c r="AQ56">
        <v>231.5</v>
      </c>
      <c r="AR56">
        <v>5</v>
      </c>
      <c r="AS56">
        <v>214.6</v>
      </c>
      <c r="AT56">
        <v>2</v>
      </c>
      <c r="AU56">
        <v>97</v>
      </c>
    </row>
    <row r="57" spans="6:51" x14ac:dyDescent="0.2">
      <c r="F57" t="s">
        <v>24</v>
      </c>
      <c r="G57">
        <v>1860</v>
      </c>
      <c r="H57">
        <v>1159</v>
      </c>
      <c r="I57">
        <v>188.04659188959999</v>
      </c>
      <c r="J57">
        <v>354</v>
      </c>
      <c r="K57">
        <v>318.02542372879998</v>
      </c>
      <c r="L57">
        <v>486</v>
      </c>
      <c r="M57">
        <v>342.32921810699997</v>
      </c>
      <c r="N57">
        <v>199</v>
      </c>
      <c r="O57">
        <v>493.06532663320002</v>
      </c>
      <c r="R57">
        <v>16</v>
      </c>
      <c r="S57">
        <v>585.25</v>
      </c>
      <c r="V57" t="s">
        <v>378</v>
      </c>
      <c r="W57">
        <v>3415</v>
      </c>
      <c r="X57">
        <v>2079</v>
      </c>
      <c r="Y57">
        <v>438.27574590950002</v>
      </c>
      <c r="Z57">
        <v>327</v>
      </c>
      <c r="AA57">
        <v>514.09174311929996</v>
      </c>
      <c r="AB57">
        <v>810</v>
      </c>
      <c r="AC57">
        <v>543.47407407410003</v>
      </c>
      <c r="AD57">
        <v>366</v>
      </c>
      <c r="AE57">
        <v>574.10928961750005</v>
      </c>
      <c r="AF57">
        <v>146</v>
      </c>
      <c r="AG57">
        <v>166.15753424659999</v>
      </c>
      <c r="AH57">
        <v>14</v>
      </c>
      <c r="AI57">
        <v>178.42857142860001</v>
      </c>
      <c r="AL57" t="s">
        <v>378</v>
      </c>
      <c r="AM57">
        <v>111</v>
      </c>
      <c r="AN57">
        <v>92</v>
      </c>
      <c r="AO57">
        <v>278.1847826087</v>
      </c>
      <c r="AP57">
        <v>15</v>
      </c>
      <c r="AQ57">
        <v>359.13333333330002</v>
      </c>
      <c r="AR57">
        <v>16</v>
      </c>
      <c r="AS57">
        <v>199.25</v>
      </c>
      <c r="AT57">
        <v>3</v>
      </c>
      <c r="AU57">
        <v>248</v>
      </c>
    </row>
    <row r="58" spans="6:51" x14ac:dyDescent="0.2">
      <c r="F58" t="s">
        <v>72</v>
      </c>
      <c r="G58">
        <v>15205</v>
      </c>
      <c r="H58">
        <v>10456</v>
      </c>
      <c r="I58">
        <v>353.80114777620003</v>
      </c>
      <c r="J58">
        <v>604</v>
      </c>
      <c r="K58">
        <v>789.01821192049999</v>
      </c>
      <c r="L58">
        <v>3974</v>
      </c>
      <c r="M58">
        <v>814.53724207350001</v>
      </c>
      <c r="N58">
        <v>770</v>
      </c>
      <c r="O58">
        <v>535.62987012990004</v>
      </c>
      <c r="R58">
        <v>5</v>
      </c>
      <c r="S58">
        <v>181.6</v>
      </c>
      <c r="V58" t="s">
        <v>422</v>
      </c>
      <c r="W58">
        <v>681</v>
      </c>
      <c r="X58">
        <v>523</v>
      </c>
      <c r="Y58">
        <v>286.21797323139998</v>
      </c>
      <c r="Z58">
        <v>63</v>
      </c>
      <c r="AA58">
        <v>619.7777777778</v>
      </c>
      <c r="AB58">
        <v>83</v>
      </c>
      <c r="AC58">
        <v>181.9759036145</v>
      </c>
      <c r="AD58">
        <v>44</v>
      </c>
      <c r="AE58">
        <v>306.5681818182</v>
      </c>
      <c r="AF58">
        <v>31</v>
      </c>
      <c r="AG58">
        <v>240.67741935480001</v>
      </c>
      <c r="AL58" t="s">
        <v>422</v>
      </c>
      <c r="AM58">
        <v>14</v>
      </c>
      <c r="AN58">
        <v>13</v>
      </c>
      <c r="AO58">
        <v>330</v>
      </c>
      <c r="AP58">
        <v>6</v>
      </c>
      <c r="AQ58">
        <v>233.8333333333</v>
      </c>
      <c r="AR58">
        <v>1</v>
      </c>
      <c r="AS58">
        <v>404</v>
      </c>
    </row>
    <row r="59" spans="6:51" x14ac:dyDescent="0.2">
      <c r="F59" t="s">
        <v>47</v>
      </c>
      <c r="G59">
        <v>940</v>
      </c>
      <c r="H59">
        <v>630</v>
      </c>
      <c r="I59">
        <v>170.42063492060001</v>
      </c>
      <c r="J59">
        <v>118</v>
      </c>
      <c r="K59">
        <v>301.32203389829999</v>
      </c>
      <c r="L59">
        <v>154</v>
      </c>
      <c r="M59">
        <v>182.6753246753</v>
      </c>
      <c r="N59">
        <v>155</v>
      </c>
      <c r="O59">
        <v>260.21935483869999</v>
      </c>
      <c r="R59">
        <v>1</v>
      </c>
      <c r="S59">
        <v>131</v>
      </c>
      <c r="V59" t="s">
        <v>386</v>
      </c>
      <c r="W59">
        <v>2293</v>
      </c>
      <c r="X59">
        <v>1451</v>
      </c>
      <c r="Y59">
        <v>377.80634045490001</v>
      </c>
      <c r="Z59">
        <v>235</v>
      </c>
      <c r="AA59">
        <v>377.3404255319</v>
      </c>
      <c r="AB59">
        <v>175</v>
      </c>
      <c r="AC59">
        <v>276.64571428570002</v>
      </c>
      <c r="AD59">
        <v>526</v>
      </c>
      <c r="AE59">
        <v>468.73142857139999</v>
      </c>
      <c r="AF59">
        <v>138</v>
      </c>
      <c r="AG59">
        <v>162.76086956520001</v>
      </c>
      <c r="AH59">
        <v>3</v>
      </c>
      <c r="AI59">
        <v>623.66666666670005</v>
      </c>
      <c r="AL59" t="s">
        <v>386</v>
      </c>
      <c r="AM59">
        <v>47</v>
      </c>
      <c r="AN59">
        <v>33</v>
      </c>
      <c r="AO59">
        <v>254.54545454550001</v>
      </c>
      <c r="AP59">
        <v>4</v>
      </c>
      <c r="AQ59">
        <v>224.75</v>
      </c>
      <c r="AR59">
        <v>12</v>
      </c>
      <c r="AS59">
        <v>182.25</v>
      </c>
      <c r="AT59">
        <v>2</v>
      </c>
      <c r="AU59">
        <v>130.5</v>
      </c>
    </row>
    <row r="60" spans="6:51" x14ac:dyDescent="0.2">
      <c r="F60" t="s">
        <v>63</v>
      </c>
      <c r="G60">
        <v>3239</v>
      </c>
      <c r="H60">
        <v>2398</v>
      </c>
      <c r="I60">
        <v>269.77147623019999</v>
      </c>
      <c r="J60">
        <v>373</v>
      </c>
      <c r="K60">
        <v>536.18230562999997</v>
      </c>
      <c r="L60">
        <v>375</v>
      </c>
      <c r="M60">
        <v>249.29333333330001</v>
      </c>
      <c r="N60">
        <v>445</v>
      </c>
      <c r="O60">
        <v>659.15730337080004</v>
      </c>
      <c r="R60">
        <v>21</v>
      </c>
      <c r="S60">
        <v>594.14285714289997</v>
      </c>
      <c r="V60" t="s">
        <v>389</v>
      </c>
      <c r="W60">
        <v>10192</v>
      </c>
      <c r="X60">
        <v>7359</v>
      </c>
      <c r="Y60">
        <v>262.56162522080001</v>
      </c>
      <c r="Z60">
        <v>963</v>
      </c>
      <c r="AA60">
        <v>490.5908618899</v>
      </c>
      <c r="AB60">
        <v>1236</v>
      </c>
      <c r="AC60">
        <v>228.95873786409999</v>
      </c>
      <c r="AD60">
        <v>1006</v>
      </c>
      <c r="AE60">
        <v>354.51689860829998</v>
      </c>
      <c r="AF60">
        <v>571</v>
      </c>
      <c r="AG60">
        <v>168.7543859649</v>
      </c>
      <c r="AH60">
        <v>20</v>
      </c>
      <c r="AI60">
        <v>256.89999999999998</v>
      </c>
      <c r="AL60" t="s">
        <v>389</v>
      </c>
      <c r="AM60">
        <v>224</v>
      </c>
      <c r="AN60">
        <v>185</v>
      </c>
      <c r="AO60">
        <v>266.40540540540002</v>
      </c>
      <c r="AP60">
        <v>36</v>
      </c>
      <c r="AQ60">
        <v>315.2222222222</v>
      </c>
      <c r="AR60">
        <v>25</v>
      </c>
      <c r="AS60">
        <v>285</v>
      </c>
      <c r="AT60">
        <v>12</v>
      </c>
      <c r="AU60">
        <v>196.5833333333</v>
      </c>
      <c r="AV60">
        <v>2</v>
      </c>
      <c r="AW60">
        <v>328</v>
      </c>
    </row>
    <row r="61" spans="6:51" x14ac:dyDescent="0.2">
      <c r="F61" t="s">
        <v>36</v>
      </c>
      <c r="G61">
        <v>5658</v>
      </c>
      <c r="H61">
        <v>4442</v>
      </c>
      <c r="I61">
        <v>563.39936965330003</v>
      </c>
      <c r="J61">
        <v>251</v>
      </c>
      <c r="K61">
        <v>971.7490039841</v>
      </c>
      <c r="L61">
        <v>944</v>
      </c>
      <c r="M61">
        <v>839.85593220340002</v>
      </c>
      <c r="N61">
        <v>268</v>
      </c>
      <c r="O61">
        <v>665.81343283579997</v>
      </c>
      <c r="R61">
        <v>4</v>
      </c>
      <c r="S61">
        <v>714.75</v>
      </c>
      <c r="V61" t="s">
        <v>421</v>
      </c>
      <c r="W61">
        <v>597</v>
      </c>
      <c r="X61">
        <v>381</v>
      </c>
      <c r="Y61">
        <v>377.23622047240002</v>
      </c>
      <c r="Z61">
        <v>20</v>
      </c>
      <c r="AA61">
        <v>756.1</v>
      </c>
      <c r="AB61">
        <v>168</v>
      </c>
      <c r="AC61">
        <v>867.11904761899996</v>
      </c>
      <c r="AD61">
        <v>37</v>
      </c>
      <c r="AE61">
        <v>591.02702702700003</v>
      </c>
      <c r="AF61">
        <v>11</v>
      </c>
      <c r="AG61">
        <v>172.45454545449999</v>
      </c>
      <c r="AL61" t="s">
        <v>421</v>
      </c>
      <c r="AM61">
        <v>15</v>
      </c>
      <c r="AN61">
        <v>13</v>
      </c>
      <c r="AO61">
        <v>308.84615384620002</v>
      </c>
      <c r="AP61">
        <v>1</v>
      </c>
      <c r="AQ61">
        <v>187</v>
      </c>
      <c r="AR61">
        <v>2</v>
      </c>
      <c r="AS61">
        <v>160</v>
      </c>
    </row>
    <row r="62" spans="6:51" x14ac:dyDescent="0.2">
      <c r="F62" t="s">
        <v>50</v>
      </c>
      <c r="G62">
        <v>1939</v>
      </c>
      <c r="H62">
        <v>1284</v>
      </c>
      <c r="I62">
        <v>350.3691588785</v>
      </c>
      <c r="J62">
        <v>237</v>
      </c>
      <c r="K62">
        <v>366.36708860760001</v>
      </c>
      <c r="L62">
        <v>154</v>
      </c>
      <c r="M62">
        <v>165.59740259739999</v>
      </c>
      <c r="N62">
        <v>498</v>
      </c>
      <c r="O62">
        <v>439.39436619719999</v>
      </c>
      <c r="R62">
        <v>3</v>
      </c>
      <c r="S62">
        <v>623.66666666670005</v>
      </c>
      <c r="V62" t="s">
        <v>376</v>
      </c>
      <c r="W62">
        <v>56962</v>
      </c>
      <c r="X62">
        <v>39234</v>
      </c>
      <c r="Y62">
        <v>352.85471044050001</v>
      </c>
      <c r="Z62">
        <v>4294</v>
      </c>
      <c r="AA62">
        <v>532.78924080110005</v>
      </c>
      <c r="AB62">
        <v>9900</v>
      </c>
      <c r="AC62">
        <v>575.57292929289997</v>
      </c>
      <c r="AD62">
        <v>5531</v>
      </c>
      <c r="AE62">
        <v>512.86654611209997</v>
      </c>
      <c r="AF62">
        <v>2200</v>
      </c>
      <c r="AG62">
        <v>175.2824010914</v>
      </c>
      <c r="AH62">
        <v>97</v>
      </c>
      <c r="AI62">
        <v>417.59793814429997</v>
      </c>
      <c r="AL62" t="s">
        <v>376</v>
      </c>
      <c r="AM62">
        <v>1494</v>
      </c>
      <c r="AN62">
        <v>1212</v>
      </c>
      <c r="AO62">
        <v>259.64273927390002</v>
      </c>
      <c r="AP62">
        <v>224</v>
      </c>
      <c r="AQ62">
        <v>327.97321428570001</v>
      </c>
      <c r="AR62">
        <v>211</v>
      </c>
      <c r="AS62">
        <v>224.83886255920001</v>
      </c>
      <c r="AT62">
        <v>66</v>
      </c>
      <c r="AU62">
        <v>239.15151515150001</v>
      </c>
      <c r="AV62">
        <v>4</v>
      </c>
      <c r="AW62">
        <v>338.25</v>
      </c>
      <c r="AX62">
        <v>1</v>
      </c>
      <c r="AY62">
        <v>369</v>
      </c>
    </row>
    <row r="63" spans="6:51" x14ac:dyDescent="0.2">
      <c r="F63" t="s">
        <v>57</v>
      </c>
      <c r="G63">
        <v>619</v>
      </c>
      <c r="H63">
        <v>493</v>
      </c>
      <c r="I63">
        <v>264.30831642999999</v>
      </c>
      <c r="J63">
        <v>59</v>
      </c>
      <c r="K63">
        <v>615.91525423730002</v>
      </c>
      <c r="L63">
        <v>78</v>
      </c>
      <c r="M63">
        <v>97.628205128199994</v>
      </c>
      <c r="N63">
        <v>48</v>
      </c>
      <c r="O63">
        <v>266.6458333333</v>
      </c>
      <c r="V63" t="s">
        <v>705</v>
      </c>
      <c r="W63">
        <v>316921</v>
      </c>
      <c r="X63">
        <v>227738</v>
      </c>
      <c r="Y63">
        <v>397.88747540930001</v>
      </c>
      <c r="Z63">
        <v>19425</v>
      </c>
      <c r="AA63">
        <v>577.85225225229999</v>
      </c>
      <c r="AB63">
        <v>53053</v>
      </c>
      <c r="AC63">
        <v>621.1170716076</v>
      </c>
      <c r="AD63">
        <v>24786</v>
      </c>
      <c r="AE63">
        <v>518.18360840970001</v>
      </c>
      <c r="AF63">
        <v>10904</v>
      </c>
      <c r="AG63">
        <v>179.6936060912</v>
      </c>
      <c r="AH63">
        <v>440</v>
      </c>
      <c r="AI63">
        <v>462.59090909090003</v>
      </c>
      <c r="AL63" t="s">
        <v>705</v>
      </c>
      <c r="AM63">
        <v>7646</v>
      </c>
      <c r="AN63">
        <v>5938</v>
      </c>
      <c r="AO63">
        <v>346.92320646680002</v>
      </c>
      <c r="AP63">
        <v>1318</v>
      </c>
      <c r="AQ63">
        <v>430.67374810320001</v>
      </c>
      <c r="AR63">
        <v>1449</v>
      </c>
      <c r="AS63">
        <v>334.23257418909998</v>
      </c>
      <c r="AT63">
        <v>246</v>
      </c>
      <c r="AU63">
        <v>244.9756097561</v>
      </c>
      <c r="AV63">
        <v>12</v>
      </c>
      <c r="AW63">
        <v>234.5</v>
      </c>
      <c r="AX63">
        <v>1</v>
      </c>
      <c r="AY63">
        <v>369</v>
      </c>
    </row>
    <row r="64" spans="6:51" x14ac:dyDescent="0.2">
      <c r="F64" t="s">
        <v>68</v>
      </c>
      <c r="G64">
        <v>5011</v>
      </c>
      <c r="H64">
        <v>3862</v>
      </c>
      <c r="I64">
        <v>564.35680994300003</v>
      </c>
      <c r="J64">
        <v>133</v>
      </c>
      <c r="K64">
        <v>1049.4586466164999</v>
      </c>
      <c r="L64">
        <v>234</v>
      </c>
      <c r="M64">
        <v>657.91452991450001</v>
      </c>
      <c r="N64">
        <v>914</v>
      </c>
      <c r="O64">
        <v>863.93435448579999</v>
      </c>
      <c r="R64">
        <v>1</v>
      </c>
      <c r="S64">
        <v>1345</v>
      </c>
    </row>
    <row r="65" spans="6:19" x14ac:dyDescent="0.2">
      <c r="F65" t="s">
        <v>70</v>
      </c>
      <c r="G65">
        <v>484</v>
      </c>
      <c r="H65">
        <v>253</v>
      </c>
      <c r="I65">
        <v>104.1818181818</v>
      </c>
      <c r="J65">
        <v>122</v>
      </c>
      <c r="K65">
        <v>196.0573770492</v>
      </c>
      <c r="L65">
        <v>137</v>
      </c>
      <c r="M65">
        <v>132.5328467153</v>
      </c>
      <c r="N65">
        <v>89</v>
      </c>
      <c r="O65">
        <v>194.49438202249999</v>
      </c>
      <c r="R65">
        <v>5</v>
      </c>
      <c r="S65">
        <v>133.19999999999999</v>
      </c>
    </row>
    <row r="66" spans="6:19" x14ac:dyDescent="0.2">
      <c r="F66" t="s">
        <v>85</v>
      </c>
      <c r="G66">
        <v>181</v>
      </c>
      <c r="H66">
        <v>48</v>
      </c>
      <c r="I66">
        <v>1080.6875</v>
      </c>
      <c r="J66">
        <v>10</v>
      </c>
      <c r="K66">
        <v>1220</v>
      </c>
      <c r="L66">
        <v>70</v>
      </c>
      <c r="M66">
        <v>630.65714285709998</v>
      </c>
      <c r="N66">
        <v>63</v>
      </c>
      <c r="O66">
        <v>617.25396825400003</v>
      </c>
    </row>
    <row r="67" spans="6:19" x14ac:dyDescent="0.2">
      <c r="F67" t="s">
        <v>66</v>
      </c>
      <c r="G67">
        <v>5427</v>
      </c>
      <c r="H67">
        <v>3660</v>
      </c>
      <c r="I67">
        <v>255.9792349727</v>
      </c>
      <c r="J67">
        <v>516</v>
      </c>
      <c r="K67">
        <v>355.46124031009998</v>
      </c>
      <c r="L67">
        <v>1102</v>
      </c>
      <c r="M67">
        <v>421.62431941919999</v>
      </c>
      <c r="N67">
        <v>659</v>
      </c>
      <c r="O67">
        <v>582.62215477999996</v>
      </c>
      <c r="R67">
        <v>6</v>
      </c>
      <c r="S67">
        <v>434.8333333333</v>
      </c>
    </row>
    <row r="68" spans="6:19" x14ac:dyDescent="0.2">
      <c r="F68" t="s">
        <v>437</v>
      </c>
      <c r="G68">
        <v>20</v>
      </c>
      <c r="H68">
        <v>7</v>
      </c>
      <c r="I68">
        <v>347</v>
      </c>
      <c r="L68">
        <v>4</v>
      </c>
      <c r="M68">
        <v>564</v>
      </c>
      <c r="N68">
        <v>8</v>
      </c>
      <c r="O68">
        <v>161.375</v>
      </c>
      <c r="R68">
        <v>1</v>
      </c>
      <c r="S68">
        <v>325</v>
      </c>
    </row>
    <row r="69" spans="6:19" x14ac:dyDescent="0.2">
      <c r="F69" t="s">
        <v>86</v>
      </c>
      <c r="G69">
        <v>9254</v>
      </c>
      <c r="H69">
        <v>7110</v>
      </c>
      <c r="I69">
        <v>248.6403656821</v>
      </c>
      <c r="J69">
        <v>947</v>
      </c>
      <c r="K69">
        <v>483.9102428722</v>
      </c>
      <c r="L69">
        <v>1137</v>
      </c>
      <c r="M69">
        <v>178.82937554969999</v>
      </c>
      <c r="N69">
        <v>986</v>
      </c>
      <c r="O69">
        <v>340.27383367139998</v>
      </c>
      <c r="R69">
        <v>21</v>
      </c>
      <c r="S69">
        <v>254.8571428571</v>
      </c>
    </row>
    <row r="70" spans="6:19" x14ac:dyDescent="0.2">
      <c r="F70" t="s">
        <v>141</v>
      </c>
      <c r="G70">
        <v>124</v>
      </c>
      <c r="H70">
        <v>80</v>
      </c>
      <c r="I70">
        <v>142.71250000000001</v>
      </c>
      <c r="J70">
        <v>47</v>
      </c>
      <c r="K70">
        <v>313.10638297870003</v>
      </c>
      <c r="L70">
        <v>17</v>
      </c>
      <c r="M70">
        <v>287.9411764706</v>
      </c>
      <c r="N70">
        <v>27</v>
      </c>
      <c r="O70">
        <v>483.2962962963</v>
      </c>
    </row>
    <row r="71" spans="6:19" x14ac:dyDescent="0.2">
      <c r="F71" t="s">
        <v>376</v>
      </c>
      <c r="G71">
        <v>56258</v>
      </c>
      <c r="H71">
        <v>40342</v>
      </c>
      <c r="I71">
        <v>358.35250371839999</v>
      </c>
      <c r="J71">
        <v>4374</v>
      </c>
      <c r="K71">
        <v>541.60493827159996</v>
      </c>
      <c r="L71">
        <v>9919</v>
      </c>
      <c r="M71">
        <v>578.54551870149999</v>
      </c>
      <c r="N71">
        <v>5896</v>
      </c>
      <c r="O71">
        <v>546.21526717560005</v>
      </c>
      <c r="R71">
        <v>101</v>
      </c>
      <c r="S71">
        <v>419.56435643560002</v>
      </c>
    </row>
    <row r="72" spans="6:19" x14ac:dyDescent="0.2">
      <c r="F72" t="s">
        <v>705</v>
      </c>
      <c r="G72">
        <v>324567</v>
      </c>
      <c r="H72">
        <v>233676</v>
      </c>
      <c r="I72">
        <v>396.59235404380001</v>
      </c>
      <c r="J72">
        <v>20743</v>
      </c>
      <c r="K72">
        <v>568.50060261290002</v>
      </c>
      <c r="L72">
        <v>54502</v>
      </c>
      <c r="M72">
        <v>613.48990862719995</v>
      </c>
      <c r="N72">
        <v>25032</v>
      </c>
      <c r="O72">
        <v>515.49814200660001</v>
      </c>
      <c r="P72">
        <v>10916</v>
      </c>
      <c r="Q72">
        <v>179.75387152939999</v>
      </c>
      <c r="R72">
        <v>441</v>
      </c>
      <c r="S72">
        <v>462.37868480729998</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 customWidth="1"/>
    <col min="4" max="4" width="1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1">
        <v>42350</v>
      </c>
      <c r="C20">
        <v>24087</v>
      </c>
      <c r="D20">
        <v>12</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366684</CP_Inventory>
    <Fiscal_Year xmlns="c9744be7-b815-40bc-84fa-afc9c406d9bc">2016</Fiscal_Year>
    <CP_Backlog xmlns="c9744be7-b815-40bc-84fa-afc9c406d9bc">75996</CP_Backlog>
    <Creation_date xmlns="c9744be7-b815-40bc-84fa-afc9c406d9bc">2015-12-14T00:00:00</Creation_date>
    <Data_date xmlns="c9744be7-b815-40bc-84fa-afc9c406d9bc">2015-12-12T00:00:00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fef9c9dc-374b-4157-9e06-089f148416e5"/>
    <ds:schemaRef ds:uri="http://purl.org/dc/dcmitype/"/>
    <ds:schemaRef ds:uri="http://purl.org/dc/elements/1.1/"/>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c9744be7-b815-40bc-84fa-afc9c406d9bc"/>
    <ds:schemaRef ds:uri="http://schemas.microsoft.com/office/2006/metadata/properties"/>
    <ds:schemaRef ds:uri="http://www.w3.org/XML/1998/namespac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14,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2015-12-14T15:54:29Z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