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PPEALS DATA" sheetId="62" state="veryHidden" r:id="rId10"/>
    <sheet name="ACCURACY DATA" sheetId="74"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10" hidden="1">'ACCURACY DATA'!$B$2:$P$74</definedName>
    <definedName name="MMWR_CONNECTOR" localSheetId="9"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9" hidden="1">'APPEALS DATA'!$AL$2:$AY$63</definedName>
    <definedName name="MMWR_CONNECTOR_2" localSheetId="8" hidden="1">'CP DATA'!$T$2:$AF$7</definedName>
    <definedName name="MMWR_CONNECTOR_3" localSheetId="9" hidden="1">'APPEALS DATA'!$F$2:$S$72</definedName>
    <definedName name="MMWR_CONNECTOR_3" localSheetId="8" hidden="1">'CP DATA'!$AH$2:$AT$55</definedName>
    <definedName name="MMWR_CONNECTOR_4" localSheetId="9"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2" l="1"/>
  <c r="H32" i="72"/>
  <c r="G32" i="72"/>
  <c r="F32" i="72"/>
  <c r="D32" i="72"/>
  <c r="C32" i="72"/>
  <c r="E32" i="72" s="1"/>
  <c r="I50" i="72"/>
  <c r="H50" i="72"/>
  <c r="G50" i="72"/>
  <c r="F50" i="72"/>
  <c r="E50" i="72"/>
  <c r="D50" i="72"/>
  <c r="C50" i="72"/>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G65" i="72"/>
  <c r="E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<sst xmlns="http://schemas.openxmlformats.org/spreadsheetml/2006/main" count="4099" uniqueCount="1066">
  <si>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</si>
  <si>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</si>
  <si>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</si>
  <si>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</si>
  <si>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</si>
  <si>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</si>
  <si>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</si>
  <si>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</si>
  <si>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</si>
  <si>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</si>
  <si>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</si>
  <si>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</si>
  <si>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</si>
  <si>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</si>
  <si>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</si>
  <si>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</si>
  <si>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</si>
  <si>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</si>
  <si>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</si>
  <si>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</si>
  <si>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</si>
  <si>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</si>
  <si>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</si>
  <si>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</si>
  <si>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</si>
  <si>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</si>
  <si>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</si>
  <si>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</si>
  <si>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</si>
  <si>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</si>
  <si>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</si>
  <si>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</si>
  <si>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</si>
  <si>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</si>
  <si>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</si>
  <si>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</si>
  <si>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</si>
  <si>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</si>
  <si>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</si>
  <si>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</si>
  <si>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</si>
  <si>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</si>
  <si>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</si>
  <si>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</si>
  <si>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</si>
  <si>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</si>
  <si>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</si>
  <si>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</si>
  <si>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</si>
  <si>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</si>
  <si>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</si>
  <si>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</si>
  <si>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</si>
  <si>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</si>
  <si>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</si>
  <si>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</si>
  <si>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</si>
  <si>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</si>
  <si>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</si>
  <si>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</si>
  <si>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</si>
  <si>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</si>
  <si>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</si>
  <si>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</si>
  <si>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</si>
  <si>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</si>
  <si>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</si>
  <si>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</si>
  <si>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</si>
  <si>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</si>
  <si>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</si>
  <si>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</si>
  <si>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</si>
  <si>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</si>
  <si>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</si>
  <si>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</si>
  <si>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</si>
  <si>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</si>
  <si>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</si>
  <si>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</si>
  <si>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</si>
  <si>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</si>
  <si>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</si>
  <si>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</si>
  <si>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</si>
  <si>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</si>
  <si>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</si>
  <si>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</si>
  <si>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</si>
  <si>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</si>
  <si>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</si>
  <si>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</si>
  <si>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</si>
  <si>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</si>
  <si>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</si>
  <si>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</si>
  <si>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</si>
  <si>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</si>
  <si>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</si>
  <si>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</si>
  <si>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</si>
  <si>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</si>
  <si>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</si>
  <si>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</si>
  <si>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</si>
  <si>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</si>
  <si>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</si>
  <si>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</si>
  <si>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</si>
  <si>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</si>
  <si>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</si>
  <si>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</si>
  <si>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</si>
  <si>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</si>
  <si>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</si>
  <si>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</si>
  <si>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</si>
  <si>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</si>
  <si>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</si>
  <si>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</si>
  <si>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</si>
  <si>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</si>
  <si>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</si>
  <si>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</si>
  <si>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</si>
  <si>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</si>
  <si>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</si>
  <si>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</si>
  <si>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</si>
  <si>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</si>
  <si>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</si>
  <si>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</si>
  <si>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</si>
  <si>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</si>
  <si>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</si>
  <si>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</si>
  <si>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</si>
  <si>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</si>
  <si>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</si>
  <si>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</si>
  <si>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</si>
  <si>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</si>
  <si>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</si>
  <si>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</si>
  <si>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</si>
  <si>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</si>
  <si>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</si>
  <si>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</si>
  <si>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</si>
  <si>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</si>
  <si>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</si>
  <si>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</si>
  <si>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</si>
  <si>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</si>
  <si>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</si>
  <si>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</si>
  <si>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</si>
  <si>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</si>
  <si>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</si>
  <si>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</si>
  <si>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</si>
  <si>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</si>
  <si>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</si>
  <si>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</si>
  <si>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</si>
  <si>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</si>
  <si>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</si>
  <si>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</si>
  <si>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</si>
  <si>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</si>
  <si>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</si>
  <si>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</si>
  <si>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</si>
  <si>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</si>
  <si>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</si>
  <si>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</si>
  <si>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</si>
  <si>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</si>
  <si>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</si>
  <si>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</si>
  <si>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</si>
  <si>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</si>
  <si>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</si>
  <si>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</si>
  <si>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</si>
  <si>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</si>
  <si>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</si>
  <si>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</si>
  <si>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</si>
  <si>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</si>
  <si>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</si>
  <si>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</si>
  <si>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</si>
  <si>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</si>
  <si>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</si>
  <si>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</si>
  <si>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</si>
  <si>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</si>
  <si>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</si>
  <si>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</si>
  <si>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</si>
  <si>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</si>
  <si>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</si>
  <si>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</si>
  <si>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</si>
  <si>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</si>
  <si>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</si>
  <si>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</si>
  <si>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</si>
  <si>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</si>
  <si>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</si>
  <si>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</si>
  <si>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</si>
  <si>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</si>
  <si>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</si>
  <si>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</si>
  <si>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</si>
  <si>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</si>
  <si>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</si>
  <si>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</si>
  <si>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</si>
  <si>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</si>
  <si>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</si>
  <si>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</si>
  <si>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</si>
  <si>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</si>
  <si>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</si>
  <si>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</si>
  <si>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</si>
  <si>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</si>
  <si>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</si>
  <si>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</si>
  <si>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</si>
  <si>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</si>
  <si>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</si>
  <si>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</si>
  <si>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</si>
  <si>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</si>
  <si>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</si>
  <si>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</si>
  <si>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</si>
  <si>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</si>
  <si>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</si>
  <si>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</si>
  <si>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</si>
  <si>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</si>
  <si>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</si>
  <si>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</si>
  <si>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</si>
  <si>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</si>
  <si>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</si>
  <si>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</si>
  <si>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</si>
  <si>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</si>
  <si>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</si>
  <si>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</si>
  <si>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</si>
  <si>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</si>
  <si>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</si>
  <si>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</si>
  <si>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</si>
  <si>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</si>
  <si>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</si>
  <si>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</si>
  <si>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</si>
  <si>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</si>
  <si>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</si>
  <si>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</si>
  <si>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</si>
  <si>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</si>
  <si>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</si>
  <si>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</si>
  <si>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</si>
  <si>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</si>
  <si>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</si>
  <si>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</si>
  <si>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</si>
  <si>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</si>
  <si>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</si>
  <si>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</si>
  <si>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</si>
  <si>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</si>
  <si>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</si>
  <si>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</si>
  <si>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</si>
  <si>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</si>
  <si>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</si>
  <si>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</si>
  <si>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</si>
  <si>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</si>
  <si>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</si>
  <si>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</si>
  <si>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</si>
  <si>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</si>
  <si>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</si>
  <si>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</si>
  <si>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</si>
  <si>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</si>
  <si>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</si>
  <si>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</si>
  <si>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</si>
  <si>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</si>
  <si>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</si>
  <si>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</si>
  <si>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</si>
  <si>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</si>
  <si>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</si>
  <si>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</si>
  <si>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</si>
  <si>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</si>
  <si>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</si>
  <si>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</si>
  <si>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</si>
  <si>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</si>
  <si>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</si>
  <si>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</si>
  <si>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</si>
  <si>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</si>
  <si>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</si>
  <si>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</si>
  <si>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</si>
  <si>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</si>
  <si>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</si>
  <si>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</si>
  <si>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</si>
  <si>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</si>
  <si>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</si>
  <si>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</si>
  <si>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</si>
  <si>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</si>
  <si>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</si>
  <si>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</si>
  <si>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</si>
  <si>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</si>
  <si>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</si>
  <si>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</si>
  <si>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</si>
  <si>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</si>
  <si>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</si>
  <si>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</si>
  <si>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</si>
  <si>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</si>
  <si>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</si>
  <si>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</si>
  <si>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</si>
  <si>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</si>
  <si>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</si>
  <si>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</si>
  <si>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</si>
  <si>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</si>
  <si>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</si>
  <si>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</si>
  <si>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</si>
  <si>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</si>
  <si>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</si>
  <si>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</si>
  <si>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</si>
  <si>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</si>
  <si>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</si>
  <si>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</si>
  <si>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</si>
  <si>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</si>
  <si>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</si>
  <si>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</si>
  <si>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</si>
  <si>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</si>
  <si>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</si>
  <si>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</si>
  <si>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</si>
  <si>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</si>
  <si>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</si>
  <si>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</si>
  <si>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</si>
  <si>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</si>
  <si>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</si>
  <si>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</si>
  <si>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</si>
  <si>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</si>
  <si>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</si>
  <si>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</si>
  <si>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</si>
  <si>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</si>
  <si>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</si>
  <si>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</si>
  <si>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</si>
  <si>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</si>
  <si>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</si>
  <si>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</si>
  <si>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</si>
  <si>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</si>
  <si>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</si>
  <si>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</si>
  <si>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</si>
  <si>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</si>
  <si>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</si>
  <si>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</si>
  <si>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</si>
  <si>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</si>
  <si>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</si>
  <si>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</si>
  <si>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</si>
  <si>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</si>
  <si>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</si>
  <si>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</si>
  <si>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</si>
  <si>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</si>
  <si>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</si>
  <si>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</si>
  <si>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</si>
  <si>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</si>
  <si>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</si>
  <si>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</si>
  <si>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</si>
  <si>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</si>
  <si>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</si>
  <si>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</si>
  <si>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</si>
  <si>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</si>
  <si>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</si>
  <si>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</si>
  <si>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</si>
  <si>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</si>
  <si>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</si>
  <si>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</si>
  <si>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</si>
  <si>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</si>
  <si>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</si>
  <si>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</si>
  <si>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</si>
  <si>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</si>
  <si>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</si>
  <si>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</si>
  <si>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</si>
  <si>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</si>
  <si>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</si>
  <si>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</si>
  <si>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</si>
  <si>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</si>
  <si>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</si>
  <si>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</si>
  <si>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</si>
  <si>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</si>
  <si>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</si>
  <si>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</si>
  <si>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</si>
  <si>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</si>
  <si>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</si>
  <si>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</si>
  <si>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</si>
  <si>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</si>
  <si>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</si>
  <si>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</si>
  <si>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</si>
  <si>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</si>
  <si>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</si>
  <si>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</si>
  <si>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</si>
  <si>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</si>
  <si>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</si>
  <si>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</si>
  <si>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</si>
  <si>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</si>
  <si>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</si>
  <si>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</si>
  <si>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</si>
  <si>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</si>
  <si>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</si>
  <si>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</si>
  <si>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</si>
  <si>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</si>
  <si>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</si>
  <si>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</si>
  <si>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</si>
  <si>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</si>
  <si>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</si>
  <si>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</si>
  <si>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</si>
  <si>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</si>
  <si>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</si>
  <si>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</si>
  <si>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</si>
  <si>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</si>
  <si>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</si>
  <si>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</si>
  <si>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</si>
  <si>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</si>
  <si>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</si>
  <si>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</si>
  <si>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</si>
  <si>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</si>
  <si>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</si>
  <si>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</si>
  <si>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</si>
  <si>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</si>
  <si>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</si>
  <si>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</si>
  <si>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</si>
  <si>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</si>
  <si>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</si>
  <si>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</si>
  <si>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</si>
  <si>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</si>
  <si>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</si>
  <si>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</si>
  <si>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</si>
  <si>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</si>
  <si>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</si>
  <si>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</si>
  <si>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</si>
  <si>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</si>
  <si>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</si>
  <si>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</si>
  <si>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</si>
  <si>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</si>
  <si>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</si>
  <si>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</si>
  <si>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</si>
  <si>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</si>
  <si>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USA All</t>
  </si>
  <si>
    <t>USA Radiation</t>
  </si>
  <si>
    <t>USA BDD</t>
  </si>
  <si>
    <t>USA Foreign</t>
  </si>
  <si>
    <t>USA DES</t>
  </si>
  <si>
    <t>USA CLCW</t>
  </si>
  <si>
    <t>USA Other</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</si>
  <si>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</si>
  <si>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</si>
  <si>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</si>
  <si>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</si>
  <si>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</si>
  <si>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</si>
  <si>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</si>
  <si>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</si>
  <si>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</si>
  <si>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</si>
  <si>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</si>
  <si>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</si>
  <si>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</si>
  <si>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</si>
  <si>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</si>
  <si>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</si>
  <si>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</si>
  <si>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</si>
  <si>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</si>
  <si>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</si>
  <si>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</si>
  <si>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</si>
  <si>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</si>
  <si>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</si>
  <si>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</si>
  <si>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</si>
  <si>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</si>
  <si>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</si>
  <si>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</si>
  <si>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</si>
  <si>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</si>
  <si>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</si>
  <si>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</si>
  <si>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</si>
  <si>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</si>
  <si>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</si>
  <si>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</si>
  <si>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</si>
  <si>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</si>
  <si>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</si>
  <si>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</si>
  <si>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</si>
  <si>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</si>
  <si>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</si>
  <si>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</si>
  <si>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</si>
  <si>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</si>
  <si>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</si>
  <si>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</si>
  <si>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</si>
  <si>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</si>
  <si>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</si>
  <si>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</si>
  <si>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</si>
  <si>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</si>
  <si>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</si>
  <si>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</si>
  <si>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</si>
  <si>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</si>
  <si>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</si>
  <si>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</si>
  <si>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</si>
  <si>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</si>
  <si>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</si>
  <si>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</si>
  <si>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</si>
  <si>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</si>
  <si>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</si>
  <si>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</si>
  <si>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</si>
  <si>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</si>
  <si>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</si>
  <si>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</si>
  <si>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</si>
  <si>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</si>
  <si>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</si>
  <si>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</si>
  <si>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</si>
  <si>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</si>
  <si>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</si>
  <si>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</si>
  <si>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</si>
  <si>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</si>
  <si>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</si>
  <si>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</si>
  <si>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</si>
  <si>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</si>
  <si>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</si>
  <si>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</si>
  <si>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</si>
  <si>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</si>
  <si>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</si>
  <si>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</si>
  <si>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</si>
  <si>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</si>
  <si>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</si>
  <si>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</si>
  <si>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</si>
  <si>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</si>
  <si>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</si>
  <si>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</si>
  <si>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</si>
  <si>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</si>
  <si>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</si>
  <si>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</si>
  <si>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</si>
  <si>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</si>
  <si>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</si>
  <si>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</si>
  <si>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</si>
  <si>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</si>
  <si>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</si>
  <si>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</si>
  <si>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</si>
  <si>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</si>
  <si>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</si>
  <si>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</si>
  <si>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</si>
  <si>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</si>
  <si>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</si>
  <si>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</si>
  <si>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</si>
  <si>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</si>
  <si>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</si>
  <si>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</si>
  <si>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</si>
  <si>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</si>
  <si>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</si>
  <si>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</si>
  <si>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</si>
  <si>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</si>
  <si>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</si>
  <si>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</si>
  <si>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</si>
  <si>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</si>
  <si>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</si>
  <si>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</si>
  <si>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</si>
  <si>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</si>
  <si>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</si>
  <si>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</si>
  <si>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</si>
  <si>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</si>
  <si>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</si>
  <si>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</si>
  <si>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</si>
  <si>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</si>
  <si>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</si>
  <si>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</si>
  <si>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</si>
  <si>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</si>
  <si>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</si>
  <si>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</si>
  <si>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</si>
  <si>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</si>
  <si>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</si>
  <si>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</si>
  <si>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</si>
  <si>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</si>
  <si>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</si>
  <si>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</si>
  <si>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</si>
  <si>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</si>
  <si>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</si>
  <si>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</si>
  <si>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</si>
  <si>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</si>
  <si>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</si>
  <si>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</si>
  <si>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</si>
  <si>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</si>
  <si>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</si>
  <si>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</si>
  <si>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</si>
  <si>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</si>
  <si>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</si>
  <si>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</si>
  <si>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</si>
  <si>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</si>
  <si>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</si>
  <si>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</si>
  <si>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</si>
  <si>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</si>
  <si>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</si>
  <si>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</si>
  <si>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</si>
  <si>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</si>
  <si>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</si>
  <si>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</si>
  <si>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</si>
  <si>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</si>
  <si>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</si>
  <si>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</si>
  <si>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</si>
  <si>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</si>
  <si>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</si>
  <si>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</si>
  <si>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</si>
  <si>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</si>
  <si>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</si>
  <si>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</si>
  <si>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</si>
  <si>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</si>
  <si>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</si>
  <si>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</si>
  <si>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</si>
  <si>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</si>
  <si>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</si>
  <si>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</si>
  <si>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</si>
  <si>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</si>
  <si>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</si>
  <si>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</si>
  <si>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</si>
  <si>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</si>
  <si>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</si>
  <si>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</si>
  <si>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</si>
  <si>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</si>
  <si>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</si>
  <si>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</si>
  <si>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</si>
  <si>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</si>
  <si>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</si>
  <si>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</si>
  <si>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</si>
  <si>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</si>
  <si>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</si>
  <si>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</si>
  <si>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</si>
  <si>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</si>
  <si>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</si>
  <si>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</si>
  <si>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</si>
  <si>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</si>
  <si>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</si>
  <si>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</si>
  <si>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</si>
  <si>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</si>
  <si>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</si>
  <si>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</si>
  <si>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</si>
  <si>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</si>
  <si>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</si>
  <si>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</si>
  <si>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</si>
  <si>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</si>
  <si>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</si>
  <si>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</si>
  <si>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</si>
  <si>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</si>
  <si>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</si>
  <si>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</si>
  <si>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</si>
  <si>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</si>
  <si>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</si>
  <si>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</si>
  <si>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</si>
  <si>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</si>
  <si>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</si>
  <si>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</si>
  <si>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</si>
  <si>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</si>
  <si>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</si>
  <si>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</si>
  <si>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</si>
  <si>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</si>
  <si>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</si>
  <si>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</si>
  <si>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</si>
  <si>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</si>
  <si>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</si>
  <si>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</si>
  <si>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</si>
  <si>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</si>
  <si>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</si>
  <si>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</si>
  <si>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</si>
  <si>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</si>
  <si>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</si>
  <si>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</si>
  <si>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</si>
  <si>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</si>
  <si>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</si>
  <si>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</si>
  <si>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</si>
  <si>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</si>
  <si>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</si>
  <si>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</si>
  <si>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</si>
  <si>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</si>
  <si>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</si>
  <si>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</si>
  <si>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</si>
  <si>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</si>
  <si>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</si>
  <si>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</si>
  <si>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</si>
  <si>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</si>
  <si>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</si>
  <si>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</si>
  <si>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</si>
  <si>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</si>
  <si>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</si>
  <si>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</si>
  <si>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</si>
  <si>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</si>
  <si>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</si>
  <si>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</si>
  <si>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</si>
  <si>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</si>
  <si>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</si>
  <si>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</si>
  <si>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</si>
  <si>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</si>
  <si>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</si>
  <si>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</si>
  <si>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</si>
  <si>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</si>
  <si>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</si>
  <si>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</si>
  <si>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</si>
  <si>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</si>
  <si>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</si>
  <si>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</si>
  <si>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</si>
  <si>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</si>
  <si>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</si>
  <si>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</si>
  <si>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</si>
  <si>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</si>
  <si>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</si>
  <si>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</si>
  <si>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</si>
  <si>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</si>
  <si>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</si>
  <si>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</si>
  <si>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</si>
  <si>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</si>
  <si>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</si>
  <si>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</si>
  <si>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</si>
  <si>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</si>
  <si>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</si>
  <si>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</si>
  <si>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</si>
  <si>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</si>
  <si>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</si>
  <si>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</si>
  <si>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</si>
  <si>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</si>
  <si>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</si>
  <si>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</si>
  <si>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</si>
  <si>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</si>
  <si>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</si>
  <si>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</si>
  <si>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</si>
  <si>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</si>
  <si>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</si>
  <si>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</si>
  <si>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</si>
  <si>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</si>
  <si>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</si>
  <si>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</si>
  <si>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</si>
  <si>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</si>
  <si>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</si>
  <si>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</si>
  <si>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</si>
  <si>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</si>
  <si>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</si>
  <si>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</si>
  <si>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</si>
  <si>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</si>
  <si>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</si>
  <si>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</si>
  <si>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</si>
  <si>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</si>
  <si>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</si>
  <si>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</si>
  <si>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</si>
  <si>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</si>
  <si>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</si>
  <si>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</si>
  <si>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</si>
  <si>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</si>
  <si>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</si>
  <si>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</si>
  <si>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</si>
  <si>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</si>
  <si>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</si>
  <si>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</si>
  <si>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</si>
  <si>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</si>
  <si>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</si>
  <si>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</si>
  <si>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</si>
  <si>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</si>
  <si>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</si>
  <si>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</si>
  <si>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</si>
  <si>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</si>
  <si>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</si>
  <si>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</si>
  <si>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</si>
  <si>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</si>
  <si>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</si>
  <si>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</si>
  <si>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</si>
  <si>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</si>
  <si>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</si>
  <si>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</si>
  <si>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</si>
  <si>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</si>
  <si>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</si>
  <si>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COMP12_RTNG_CLAIMS_MOE</t>
  </si>
  <si>
    <t>COMP12_AUTH_CLM_WGHTED_ACC</t>
  </si>
  <si>
    <t>COMP12_AUTH_CLM_MOE</t>
  </si>
  <si>
    <t>% Correct</t>
  </si>
  <si>
    <t>MMWR_ACCURACY_RO</t>
  </si>
  <si>
    <t>Nation</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</si>
  <si>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</si>
  <si>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</si>
  <si>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</si>
  <si>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</si>
  <si>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</si>
  <si>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</si>
  <si>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</si>
  <si>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</si>
  <si>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</si>
  <si>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</si>
  <si>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</si>
  <si>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</si>
  <si>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</si>
  <si>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</si>
  <si>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</si>
  <si>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</si>
  <si>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</si>
  <si>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</si>
  <si>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</si>
  <si>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</si>
  <si>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</si>
  <si>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</si>
  <si>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</si>
  <si>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</si>
  <si>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</si>
  <si>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</si>
  <si>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</si>
  <si>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</si>
  <si>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</si>
  <si>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</si>
  <si>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</si>
  <si>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</si>
  <si>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</si>
  <si>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USA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</si>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</sst>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167" fontId="7" fillId="4" borderId="2" xfId="58"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14" fillId="2" borderId="40"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3" fillId="38" borderId="4" xfId="0" applyFont="1" applyFill="1" applyBorder="1" applyAlignment="1" applyProtection="1">
      <alignment horizontal="left" vertical="center" wrapText="1"/>
      <protection hidden="1"/>
    </xf>
    <xf numFmtId="0" fontId="13" fillId="38" borderId="29" xfId="0" applyFont="1" applyFill="1" applyBorder="1" applyAlignment="1" applyProtection="1">
      <alignment horizontal="left" vertical="center" wrapText="1"/>
      <protection hidden="1"/>
    </xf>
    <xf numFmtId="0" fontId="13" fillId="38" borderId="6" xfId="0" applyFont="1" applyFill="1" applyBorder="1" applyAlignment="1" applyProtection="1">
      <alignment horizontal="left" vertical="center" wrapText="1"/>
      <protection hidden="1"/>
    </xf>
    <xf numFmtId="0" fontId="13" fillId="38" borderId="40"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9" formatCode="mm/dd/yyyy"/>
    </dxf>
    <dxf>
      <numFmt numFmtId="170" formatCode="0.0000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5.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8.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AIMS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5.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8.xml><?xml version="1.0" encoding="utf-8"?>
<table xmlns="http://schemas.openxmlformats.org/spreadsheetml/2006/main" id="20" name="MMWR_ACCURACY_RO" displayName="MMWR_ACCURACY_RO" ref="B2:P74" tableType="queryTable" totalsRowShown="0">
  <autoFilter ref="B2:P74"/>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dataCellStyle="Percent"/>
    <tableColumn id="6" uniqueName="6" name="COMP3_RTNG_CLM_WGHTED_ACC" queryTableFieldId="6" dataDxfId="10" dataCellStyle="Percent"/>
    <tableColumn id="7" uniqueName="7" name="COMP12_RTNG_CLM_WGHTED_ACC" queryTableFieldId="7" dataDxfId="9" dataCellStyle="Percent"/>
    <tableColumn id="8" uniqueName="8" name="COMP12_RTNG_CLAIMS_MOE" queryTableFieldId="8" dataDxfId="8" dataCellStyle="Percent"/>
    <tableColumn id="9" uniqueName="9" name="COMP12_AUTH_CLM_WGHTED_ACC" queryTableFieldId="9" dataDxfId="7" dataCellStyle="Percent"/>
    <tableColumn id="10" uniqueName="10" name="COMP12_AUTH_CLM_MOE" queryTableFieldId="10" dataDxfId="6" dataCellStyle="Percent"/>
    <tableColumn id="11" uniqueName="11" name="PMC3_RTNG_CLM_WGHTED_ACC" queryTableFieldId="11" dataDxfId="5" dataCellStyle="Percent"/>
    <tableColumn id="12" uniqueName="12" name="PMC12_RTNG_CLM_WGHTED_ACC" queryTableFieldId="12" dataDxfId="4" dataCellStyle="Percent"/>
    <tableColumn id="13" uniqueName="13" name="PMC12_RTNG_CLM_MOE" queryTableFieldId="13" dataDxfId="3" dataCellStyle="Percent"/>
    <tableColumn id="14" uniqueName="14" name="PMC12_AUTH_CLM_WGHTED_ACC" queryTableFieldId="14" dataDxfId="2" dataCellStyle="Percent"/>
    <tableColumn id="15" uniqueName="15" name="PMC12_AUTH_CLM_MOE" queryTableFieldId="15" dataDxfId="1" dataCellStyle="Percent"/>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autoFilter ref="BJ2:BY81"/>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dataDxfId="13"/>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0" t="s">
        <v>312</v>
      </c>
      <c r="B1" s="271"/>
      <c r="C1" s="271"/>
      <c r="D1" s="271"/>
      <c r="E1" s="271"/>
      <c r="F1" s="271"/>
      <c r="G1" s="271"/>
      <c r="H1" s="271"/>
      <c r="I1" s="271"/>
      <c r="J1" s="271"/>
      <c r="K1" s="271"/>
      <c r="L1" s="271"/>
      <c r="M1" s="271"/>
      <c r="N1" s="271"/>
      <c r="O1" s="271"/>
      <c r="P1" s="272"/>
    </row>
    <row r="2" spans="1:16" ht="29.25" customHeight="1" x14ac:dyDescent="0.2">
      <c r="A2" s="264" t="s">
        <v>314</v>
      </c>
      <c r="B2" s="265"/>
      <c r="C2" s="265"/>
      <c r="D2" s="265"/>
      <c r="E2" s="265"/>
      <c r="F2" s="265"/>
      <c r="G2" s="265"/>
      <c r="H2" s="265"/>
      <c r="I2" s="265"/>
      <c r="J2" s="265"/>
      <c r="K2" s="265"/>
      <c r="L2" s="265"/>
      <c r="M2" s="265"/>
      <c r="N2" s="266"/>
      <c r="O2" s="273"/>
      <c r="P2" s="274"/>
    </row>
    <row r="3" spans="1:16" x14ac:dyDescent="0.2">
      <c r="A3" s="264"/>
      <c r="B3" s="265"/>
      <c r="C3" s="265"/>
      <c r="D3" s="265"/>
      <c r="E3" s="265"/>
      <c r="F3" s="265"/>
      <c r="G3" s="265"/>
      <c r="H3" s="265"/>
      <c r="I3" s="265"/>
      <c r="J3" s="265"/>
      <c r="K3" s="265"/>
      <c r="L3" s="265"/>
      <c r="M3" s="265"/>
      <c r="N3" s="266"/>
      <c r="O3" s="275"/>
      <c r="P3" s="276"/>
    </row>
    <row r="4" spans="1:16" x14ac:dyDescent="0.2">
      <c r="A4" s="264"/>
      <c r="B4" s="265"/>
      <c r="C4" s="265"/>
      <c r="D4" s="265"/>
      <c r="E4" s="265"/>
      <c r="F4" s="265"/>
      <c r="G4" s="265"/>
      <c r="H4" s="265"/>
      <c r="I4" s="265"/>
      <c r="J4" s="265"/>
      <c r="K4" s="265"/>
      <c r="L4" s="265"/>
      <c r="M4" s="265"/>
      <c r="N4" s="266"/>
      <c r="O4" s="275"/>
      <c r="P4" s="276"/>
    </row>
    <row r="5" spans="1:16" x14ac:dyDescent="0.2">
      <c r="A5" s="264"/>
      <c r="B5" s="265"/>
      <c r="C5" s="265"/>
      <c r="D5" s="265"/>
      <c r="E5" s="265"/>
      <c r="F5" s="265"/>
      <c r="G5" s="265"/>
      <c r="H5" s="265"/>
      <c r="I5" s="265"/>
      <c r="J5" s="265"/>
      <c r="K5" s="265"/>
      <c r="L5" s="265"/>
      <c r="M5" s="265"/>
      <c r="N5" s="266"/>
      <c r="O5" s="275"/>
      <c r="P5" s="276"/>
    </row>
    <row r="6" spans="1:16" x14ac:dyDescent="0.2">
      <c r="A6" s="264"/>
      <c r="B6" s="265"/>
      <c r="C6" s="265"/>
      <c r="D6" s="265"/>
      <c r="E6" s="265"/>
      <c r="F6" s="265"/>
      <c r="G6" s="265"/>
      <c r="H6" s="265"/>
      <c r="I6" s="265"/>
      <c r="J6" s="265"/>
      <c r="K6" s="265"/>
      <c r="L6" s="265"/>
      <c r="M6" s="265"/>
      <c r="N6" s="266"/>
      <c r="O6" s="275"/>
      <c r="P6" s="276"/>
    </row>
    <row r="7" spans="1:16" ht="18" customHeight="1" thickBot="1" x14ac:dyDescent="0.25">
      <c r="A7" s="267"/>
      <c r="B7" s="268"/>
      <c r="C7" s="268"/>
      <c r="D7" s="268"/>
      <c r="E7" s="268"/>
      <c r="F7" s="268"/>
      <c r="G7" s="268"/>
      <c r="H7" s="268"/>
      <c r="I7" s="268"/>
      <c r="J7" s="268"/>
      <c r="K7" s="268"/>
      <c r="L7" s="268"/>
      <c r="M7" s="268"/>
      <c r="N7" s="269"/>
      <c r="O7" s="277"/>
      <c r="P7" s="278"/>
    </row>
    <row r="8" spans="1:16" ht="18.75" thickBot="1" x14ac:dyDescent="0.25">
      <c r="A8" s="261" t="s">
        <v>310</v>
      </c>
      <c r="B8" s="262"/>
      <c r="C8" s="262"/>
      <c r="D8" s="262"/>
      <c r="E8" s="262"/>
      <c r="F8" s="262"/>
      <c r="G8" s="263"/>
      <c r="H8" s="261" t="s">
        <v>311</v>
      </c>
      <c r="I8" s="262"/>
      <c r="J8" s="262"/>
      <c r="K8" s="262"/>
      <c r="L8" s="262"/>
      <c r="M8" s="262"/>
      <c r="N8" s="262"/>
      <c r="O8" s="262"/>
      <c r="P8" s="263"/>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A3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customWidth="1"/>
    <col min="7" max="7" width="26.85546875" customWidth="1"/>
    <col min="8" max="8" width="20.85546875" customWidth="1"/>
    <col min="9" max="9" width="12.85546875" customWidth="1"/>
    <col min="10" max="10" width="20.85546875" customWidth="1"/>
    <col min="11" max="11" width="12.85546875" customWidth="1"/>
    <col min="12" max="12" width="24" customWidth="1"/>
    <col min="13" max="13" width="16" customWidth="1"/>
    <col min="14" max="14" width="31.85546875" customWidth="1"/>
    <col min="15" max="15" width="24" customWidth="1"/>
    <col min="16" max="16" width="33.85546875" customWidth="1"/>
    <col min="17" max="17" width="25.85546875" customWidth="1"/>
    <col min="18" max="18" width="36.28515625" customWidth="1"/>
    <col min="19" max="19" width="28.42578125"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bestFit="1" customWidth="1"/>
    <col min="40" max="40" width="20.85546875" bestFit="1" customWidth="1"/>
    <col min="41" max="41" width="12.85546875" bestFit="1" customWidth="1"/>
    <col min="42" max="42" width="20.85546875" bestFit="1" customWidth="1"/>
    <col min="43" max="43" width="12.85546875" bestFit="1" customWidth="1"/>
    <col min="44" max="44" width="24" bestFit="1" customWidth="1"/>
    <col min="45" max="45" width="16" bestFit="1" customWidth="1"/>
    <col min="46" max="46" width="31.85546875" bestFit="1" customWidth="1"/>
    <col min="47" max="47" width="24" bestFit="1" customWidth="1"/>
    <col min="48" max="48" width="33.85546875" bestFit="1" customWidth="1"/>
    <col min="49" max="49" width="25.85546875" bestFit="1" customWidth="1"/>
    <col min="50" max="50" width="36.28515625" bestFit="1" customWidth="1"/>
    <col min="51" max="51" width="28.42578125" bestFit="1" customWidth="1"/>
  </cols>
  <sheetData>
    <row r="2" spans="2:51" x14ac:dyDescent="0.2">
      <c r="B2" t="s">
        <v>972</v>
      </c>
      <c r="C2" t="s">
        <v>973</v>
      </c>
      <c r="D2" t="s">
        <v>139</v>
      </c>
      <c r="F2" t="s">
        <v>967</v>
      </c>
      <c r="G2" t="s">
        <v>954</v>
      </c>
      <c r="H2" t="s">
        <v>955</v>
      </c>
      <c r="I2" t="s">
        <v>956</v>
      </c>
      <c r="J2" t="s">
        <v>957</v>
      </c>
      <c r="K2" t="s">
        <v>958</v>
      </c>
      <c r="L2" t="s">
        <v>959</v>
      </c>
      <c r="M2" t="s">
        <v>960</v>
      </c>
      <c r="N2" t="s">
        <v>961</v>
      </c>
      <c r="O2" t="s">
        <v>962</v>
      </c>
      <c r="P2" t="s">
        <v>963</v>
      </c>
      <c r="Q2" t="s">
        <v>964</v>
      </c>
      <c r="R2" t="s">
        <v>965</v>
      </c>
      <c r="S2" t="s">
        <v>966</v>
      </c>
      <c r="V2" t="s">
        <v>968</v>
      </c>
      <c r="W2" t="s">
        <v>954</v>
      </c>
      <c r="X2" t="s">
        <v>955</v>
      </c>
      <c r="Y2" t="s">
        <v>956</v>
      </c>
      <c r="Z2" t="s">
        <v>957</v>
      </c>
      <c r="AA2" t="s">
        <v>958</v>
      </c>
      <c r="AB2" t="s">
        <v>959</v>
      </c>
      <c r="AC2" t="s">
        <v>960</v>
      </c>
      <c r="AD2" t="s">
        <v>961</v>
      </c>
      <c r="AE2" t="s">
        <v>962</v>
      </c>
      <c r="AF2" t="s">
        <v>963</v>
      </c>
      <c r="AG2" t="s">
        <v>964</v>
      </c>
      <c r="AH2" t="s">
        <v>965</v>
      </c>
      <c r="AI2" t="s">
        <v>966</v>
      </c>
      <c r="AL2" t="s">
        <v>969</v>
      </c>
      <c r="AM2" t="s">
        <v>954</v>
      </c>
      <c r="AN2" t="s">
        <v>955</v>
      </c>
      <c r="AO2" t="s">
        <v>956</v>
      </c>
      <c r="AP2" t="s">
        <v>957</v>
      </c>
      <c r="AQ2" t="s">
        <v>958</v>
      </c>
      <c r="AR2" t="s">
        <v>959</v>
      </c>
      <c r="AS2" t="s">
        <v>960</v>
      </c>
      <c r="AT2" t="s">
        <v>961</v>
      </c>
      <c r="AU2" t="s">
        <v>962</v>
      </c>
      <c r="AV2" t="s">
        <v>963</v>
      </c>
      <c r="AW2" t="s">
        <v>964</v>
      </c>
      <c r="AX2" t="s">
        <v>965</v>
      </c>
      <c r="AY2" t="s">
        <v>966</v>
      </c>
    </row>
    <row r="3" spans="2:51" x14ac:dyDescent="0.2">
      <c r="B3" t="s">
        <v>975</v>
      </c>
      <c r="C3">
        <v>369437</v>
      </c>
      <c r="D3">
        <v>404.67557230900002</v>
      </c>
      <c r="F3" t="s">
        <v>8</v>
      </c>
      <c r="G3">
        <v>13004</v>
      </c>
      <c r="P3">
        <v>13004</v>
      </c>
      <c r="Q3">
        <v>182.38242079360001</v>
      </c>
      <c r="V3" t="s">
        <v>318</v>
      </c>
      <c r="W3">
        <v>359</v>
      </c>
      <c r="X3">
        <v>231</v>
      </c>
      <c r="Y3">
        <v>400.16883116880001</v>
      </c>
      <c r="Z3">
        <v>20</v>
      </c>
      <c r="AA3">
        <v>558.20000000000005</v>
      </c>
      <c r="AB3">
        <v>73</v>
      </c>
      <c r="AC3">
        <v>478.80821917809999</v>
      </c>
      <c r="AD3">
        <v>29</v>
      </c>
      <c r="AE3">
        <v>716.10344827589995</v>
      </c>
      <c r="AF3">
        <v>25</v>
      </c>
      <c r="AG3">
        <v>237.88</v>
      </c>
      <c r="AH3">
        <v>1</v>
      </c>
      <c r="AI3">
        <v>114</v>
      </c>
      <c r="AL3" t="s">
        <v>318</v>
      </c>
      <c r="AM3">
        <v>3</v>
      </c>
      <c r="AN3">
        <v>1</v>
      </c>
      <c r="AO3">
        <v>477</v>
      </c>
      <c r="AP3">
        <v>1</v>
      </c>
      <c r="AQ3">
        <v>291</v>
      </c>
      <c r="AR3">
        <v>1</v>
      </c>
      <c r="AS3">
        <v>59</v>
      </c>
      <c r="AT3">
        <v>1</v>
      </c>
      <c r="AU3">
        <v>47</v>
      </c>
    </row>
    <row r="4" spans="2:51" x14ac:dyDescent="0.2">
      <c r="B4" t="s">
        <v>974</v>
      </c>
      <c r="C4">
        <v>36344</v>
      </c>
      <c r="D4">
        <v>404.67557230900002</v>
      </c>
      <c r="F4" t="s">
        <v>8</v>
      </c>
      <c r="G4">
        <v>13004</v>
      </c>
      <c r="P4">
        <v>13004</v>
      </c>
      <c r="Q4">
        <v>182.38242079360001</v>
      </c>
      <c r="V4" t="s">
        <v>8</v>
      </c>
      <c r="W4">
        <v>4914</v>
      </c>
      <c r="X4">
        <v>3599</v>
      </c>
      <c r="Y4">
        <v>408.06418449569998</v>
      </c>
      <c r="Z4">
        <v>358</v>
      </c>
      <c r="AA4">
        <v>432.56983240220001</v>
      </c>
      <c r="AB4">
        <v>584</v>
      </c>
      <c r="AC4">
        <v>520.20034246579996</v>
      </c>
      <c r="AD4">
        <v>679</v>
      </c>
      <c r="AE4">
        <v>828.38438880709998</v>
      </c>
      <c r="AF4">
        <v>49</v>
      </c>
      <c r="AG4">
        <v>204.387755102</v>
      </c>
      <c r="AH4">
        <v>3</v>
      </c>
      <c r="AI4">
        <v>479</v>
      </c>
      <c r="AL4" t="s">
        <v>8</v>
      </c>
      <c r="AM4">
        <v>36</v>
      </c>
      <c r="AN4">
        <v>28</v>
      </c>
      <c r="AO4">
        <v>312.60714285709997</v>
      </c>
      <c r="AP4">
        <v>12</v>
      </c>
      <c r="AQ4">
        <v>424.4166666667</v>
      </c>
      <c r="AR4">
        <v>8</v>
      </c>
      <c r="AS4">
        <v>249.75</v>
      </c>
    </row>
    <row r="5" spans="2:51" x14ac:dyDescent="0.2">
      <c r="B5" t="s">
        <v>987</v>
      </c>
      <c r="C5">
        <v>21949</v>
      </c>
      <c r="D5">
        <v>571.45974759670003</v>
      </c>
      <c r="F5" t="s">
        <v>46</v>
      </c>
      <c r="G5">
        <v>457</v>
      </c>
      <c r="H5">
        <v>369</v>
      </c>
      <c r="I5">
        <v>214.3495934959</v>
      </c>
      <c r="J5">
        <v>53</v>
      </c>
      <c r="K5">
        <v>474.3018867925</v>
      </c>
      <c r="L5">
        <v>67</v>
      </c>
      <c r="M5">
        <v>114.85074626869999</v>
      </c>
      <c r="N5">
        <v>21</v>
      </c>
      <c r="O5">
        <v>226.23809523809999</v>
      </c>
      <c r="V5" t="s">
        <v>8</v>
      </c>
      <c r="W5">
        <v>5273</v>
      </c>
      <c r="X5">
        <v>3830</v>
      </c>
      <c r="Y5">
        <v>407.58798955610001</v>
      </c>
      <c r="Z5">
        <v>378</v>
      </c>
      <c r="AA5">
        <v>439.21693121689998</v>
      </c>
      <c r="AB5">
        <v>657</v>
      </c>
      <c r="AC5">
        <v>515.60121765600002</v>
      </c>
      <c r="AD5">
        <v>708</v>
      </c>
      <c r="AE5">
        <v>823.78531073449994</v>
      </c>
      <c r="AF5">
        <v>74</v>
      </c>
      <c r="AG5">
        <v>215.70270270270001</v>
      </c>
      <c r="AH5">
        <v>4</v>
      </c>
      <c r="AI5">
        <v>387.75</v>
      </c>
      <c r="AL5" t="s">
        <v>8</v>
      </c>
      <c r="AM5">
        <v>39</v>
      </c>
      <c r="AN5">
        <v>29</v>
      </c>
      <c r="AO5">
        <v>318.27586206900003</v>
      </c>
      <c r="AP5">
        <v>13</v>
      </c>
      <c r="AQ5">
        <v>414.15384615379998</v>
      </c>
      <c r="AR5">
        <v>9</v>
      </c>
      <c r="AS5">
        <v>228.55555555559999</v>
      </c>
      <c r="AT5">
        <v>1</v>
      </c>
      <c r="AU5">
        <v>47</v>
      </c>
    </row>
    <row r="6" spans="2:51" x14ac:dyDescent="0.2">
      <c r="B6" t="s">
        <v>249</v>
      </c>
      <c r="C6">
        <v>58052</v>
      </c>
      <c r="D6">
        <v>617.72941500720003</v>
      </c>
      <c r="F6" t="s">
        <v>40</v>
      </c>
      <c r="G6">
        <v>7352</v>
      </c>
      <c r="H6">
        <v>5241</v>
      </c>
      <c r="I6">
        <v>451.2240030529</v>
      </c>
      <c r="J6">
        <v>314</v>
      </c>
      <c r="K6">
        <v>817.93949044589999</v>
      </c>
      <c r="L6">
        <v>1483</v>
      </c>
      <c r="M6">
        <v>571.13958192849998</v>
      </c>
      <c r="N6">
        <v>616</v>
      </c>
      <c r="O6">
        <v>676.32305194809999</v>
      </c>
      <c r="R6">
        <v>12</v>
      </c>
      <c r="S6">
        <v>687</v>
      </c>
      <c r="V6" t="s">
        <v>409</v>
      </c>
      <c r="W6">
        <v>1298</v>
      </c>
      <c r="X6">
        <v>639</v>
      </c>
      <c r="Y6">
        <v>170.29264475740001</v>
      </c>
      <c r="Z6">
        <v>219</v>
      </c>
      <c r="AA6">
        <v>300.4840182648</v>
      </c>
      <c r="AB6">
        <v>396</v>
      </c>
      <c r="AC6">
        <v>276.53787878790001</v>
      </c>
      <c r="AD6">
        <v>123</v>
      </c>
      <c r="AE6">
        <v>244.74796747970001</v>
      </c>
      <c r="AF6">
        <v>139</v>
      </c>
      <c r="AG6">
        <v>154.7050359712</v>
      </c>
      <c r="AH6">
        <v>1</v>
      </c>
      <c r="AI6">
        <v>186</v>
      </c>
      <c r="AL6" t="s">
        <v>409</v>
      </c>
      <c r="AM6">
        <v>39</v>
      </c>
      <c r="AN6">
        <v>23</v>
      </c>
      <c r="AO6">
        <v>103.5652173913</v>
      </c>
      <c r="AP6">
        <v>21</v>
      </c>
      <c r="AQ6">
        <v>249.8571428571</v>
      </c>
      <c r="AR6">
        <v>14</v>
      </c>
      <c r="AS6">
        <v>266</v>
      </c>
      <c r="AT6">
        <v>2</v>
      </c>
      <c r="AU6">
        <v>24.5</v>
      </c>
    </row>
    <row r="7" spans="2:51" x14ac:dyDescent="0.2">
      <c r="B7" t="s">
        <v>248</v>
      </c>
      <c r="C7">
        <v>212293</v>
      </c>
      <c r="D7">
        <v>396.39138360660002</v>
      </c>
      <c r="F7" t="s">
        <v>45</v>
      </c>
      <c r="G7">
        <v>6212</v>
      </c>
      <c r="H7">
        <v>4374</v>
      </c>
      <c r="I7">
        <v>369.15363511660001</v>
      </c>
      <c r="J7">
        <v>565</v>
      </c>
      <c r="K7">
        <v>475.19292035400002</v>
      </c>
      <c r="L7">
        <v>1294</v>
      </c>
      <c r="M7">
        <v>611.84234930449998</v>
      </c>
      <c r="N7">
        <v>542</v>
      </c>
      <c r="O7">
        <v>459.61070110700001</v>
      </c>
      <c r="R7">
        <v>2</v>
      </c>
      <c r="S7">
        <v>1413</v>
      </c>
      <c r="V7" t="s">
        <v>401</v>
      </c>
      <c r="W7">
        <v>13557</v>
      </c>
      <c r="X7">
        <v>9714</v>
      </c>
      <c r="Y7">
        <v>599.97508750259999</v>
      </c>
      <c r="Z7">
        <v>192</v>
      </c>
      <c r="AA7">
        <v>893.96875</v>
      </c>
      <c r="AB7">
        <v>2754</v>
      </c>
      <c r="AC7">
        <v>1267.6913580247001</v>
      </c>
      <c r="AD7">
        <v>840</v>
      </c>
      <c r="AE7">
        <v>796.78214285709998</v>
      </c>
      <c r="AF7">
        <v>240</v>
      </c>
      <c r="AG7">
        <v>248.8</v>
      </c>
      <c r="AH7">
        <v>9</v>
      </c>
      <c r="AI7">
        <v>602.66666666670005</v>
      </c>
      <c r="AL7" t="s">
        <v>401</v>
      </c>
      <c r="AM7">
        <v>231</v>
      </c>
      <c r="AN7">
        <v>215</v>
      </c>
      <c r="AO7">
        <v>380.6465116279</v>
      </c>
      <c r="AP7">
        <v>52</v>
      </c>
      <c r="AQ7">
        <v>861.46153846150003</v>
      </c>
      <c r="AR7">
        <v>13</v>
      </c>
      <c r="AS7">
        <v>80.076923076900002</v>
      </c>
      <c r="AT7">
        <v>2</v>
      </c>
      <c r="AU7">
        <v>50.5</v>
      </c>
      <c r="AV7">
        <v>1</v>
      </c>
      <c r="AW7">
        <v>2</v>
      </c>
    </row>
    <row r="8" spans="2:51" x14ac:dyDescent="0.2">
      <c r="B8" t="s">
        <v>250</v>
      </c>
      <c r="C8">
        <v>22934</v>
      </c>
      <c r="D8">
        <v>529.52044998689996</v>
      </c>
      <c r="F8" t="s">
        <v>53</v>
      </c>
      <c r="G8">
        <v>1400</v>
      </c>
      <c r="H8">
        <v>454</v>
      </c>
      <c r="I8">
        <v>110.00660792950001</v>
      </c>
      <c r="J8">
        <v>336</v>
      </c>
      <c r="K8">
        <v>228.1428571429</v>
      </c>
      <c r="L8">
        <v>699</v>
      </c>
      <c r="M8">
        <v>264.50357653790002</v>
      </c>
      <c r="N8">
        <v>239</v>
      </c>
      <c r="O8">
        <v>227.02092050210001</v>
      </c>
      <c r="R8">
        <v>8</v>
      </c>
      <c r="S8">
        <v>168.375</v>
      </c>
      <c r="V8" t="s">
        <v>432</v>
      </c>
      <c r="W8">
        <v>1478</v>
      </c>
      <c r="X8">
        <v>996</v>
      </c>
      <c r="Y8">
        <v>256.08935742969999</v>
      </c>
      <c r="Z8">
        <v>198</v>
      </c>
      <c r="AA8">
        <v>446.34848484849999</v>
      </c>
      <c r="AB8">
        <v>155</v>
      </c>
      <c r="AC8">
        <v>292.66451612899999</v>
      </c>
      <c r="AD8">
        <v>192</v>
      </c>
      <c r="AE8">
        <v>390.6614583333</v>
      </c>
      <c r="AF8">
        <v>134</v>
      </c>
      <c r="AG8">
        <v>165.3880597015</v>
      </c>
      <c r="AH8">
        <v>1</v>
      </c>
      <c r="AI8">
        <v>361</v>
      </c>
      <c r="AL8" t="s">
        <v>432</v>
      </c>
      <c r="AM8">
        <v>27</v>
      </c>
      <c r="AN8">
        <v>19</v>
      </c>
      <c r="AO8">
        <v>204.94736842110001</v>
      </c>
      <c r="AP8">
        <v>16</v>
      </c>
      <c r="AQ8">
        <v>285.4375</v>
      </c>
      <c r="AR8">
        <v>7</v>
      </c>
      <c r="AS8">
        <v>336.28571428570001</v>
      </c>
      <c r="AT8">
        <v>1</v>
      </c>
      <c r="AU8">
        <v>30</v>
      </c>
    </row>
    <row r="9" spans="2:51" x14ac:dyDescent="0.2">
      <c r="B9" t="s">
        <v>251</v>
      </c>
      <c r="C9">
        <v>13004</v>
      </c>
      <c r="D9">
        <v>182.38242079360001</v>
      </c>
      <c r="F9" t="s">
        <v>84</v>
      </c>
      <c r="G9">
        <v>1367</v>
      </c>
      <c r="H9">
        <v>1017</v>
      </c>
      <c r="I9">
        <v>254.00688298919999</v>
      </c>
      <c r="J9">
        <v>217</v>
      </c>
      <c r="K9">
        <v>456.1843317972</v>
      </c>
      <c r="L9">
        <v>144</v>
      </c>
      <c r="M9">
        <v>233.4513888889</v>
      </c>
      <c r="N9">
        <v>204</v>
      </c>
      <c r="O9">
        <v>369.1274509804</v>
      </c>
      <c r="R9">
        <v>2</v>
      </c>
      <c r="S9">
        <v>386</v>
      </c>
      <c r="V9" t="s">
        <v>402</v>
      </c>
      <c r="W9">
        <v>7851</v>
      </c>
      <c r="X9">
        <v>5720</v>
      </c>
      <c r="Y9">
        <v>465.98216783219999</v>
      </c>
      <c r="Z9">
        <v>261</v>
      </c>
      <c r="AA9">
        <v>714.25670498080001</v>
      </c>
      <c r="AB9">
        <v>1560</v>
      </c>
      <c r="AC9">
        <v>859.37884615380005</v>
      </c>
      <c r="AD9">
        <v>396</v>
      </c>
      <c r="AE9">
        <v>629.46464646460004</v>
      </c>
      <c r="AF9">
        <v>175</v>
      </c>
      <c r="AG9">
        <v>188.0742857143</v>
      </c>
      <c r="AL9" t="s">
        <v>402</v>
      </c>
      <c r="AM9">
        <v>119</v>
      </c>
      <c r="AN9">
        <v>107</v>
      </c>
      <c r="AO9">
        <v>312.69158878500002</v>
      </c>
      <c r="AP9">
        <v>22</v>
      </c>
      <c r="AQ9">
        <v>640.40909090909997</v>
      </c>
      <c r="AR9">
        <v>11</v>
      </c>
      <c r="AS9">
        <v>382.63636363640001</v>
      </c>
      <c r="AT9">
        <v>1</v>
      </c>
      <c r="AU9">
        <v>9</v>
      </c>
    </row>
    <row r="10" spans="2:51" x14ac:dyDescent="0.2">
      <c r="B10" t="s">
        <v>970</v>
      </c>
      <c r="C10">
        <v>406</v>
      </c>
      <c r="D10">
        <v>472.42857142859998</v>
      </c>
      <c r="F10" t="s">
        <v>79</v>
      </c>
      <c r="G10">
        <v>1788</v>
      </c>
      <c r="H10">
        <v>967</v>
      </c>
      <c r="I10">
        <v>111.33609100309999</v>
      </c>
      <c r="J10">
        <v>422</v>
      </c>
      <c r="K10">
        <v>245.61611374410001</v>
      </c>
      <c r="L10">
        <v>752</v>
      </c>
      <c r="M10">
        <v>306.44680851060002</v>
      </c>
      <c r="N10">
        <v>69</v>
      </c>
      <c r="O10">
        <v>103.8115942029</v>
      </c>
      <c r="V10" t="s">
        <v>404</v>
      </c>
      <c r="W10">
        <v>7558</v>
      </c>
      <c r="X10">
        <v>5165</v>
      </c>
      <c r="Y10">
        <v>447.76379477249998</v>
      </c>
      <c r="Z10">
        <v>313</v>
      </c>
      <c r="AA10">
        <v>806.214057508</v>
      </c>
      <c r="AB10">
        <v>1477</v>
      </c>
      <c r="AC10">
        <v>571.48815165880001</v>
      </c>
      <c r="AD10">
        <v>611</v>
      </c>
      <c r="AE10">
        <v>666.58101472999999</v>
      </c>
      <c r="AF10">
        <v>293</v>
      </c>
      <c r="AG10">
        <v>212.638225256</v>
      </c>
      <c r="AH10">
        <v>12</v>
      </c>
      <c r="AI10">
        <v>687</v>
      </c>
      <c r="AL10" t="s">
        <v>404</v>
      </c>
      <c r="AM10">
        <v>322</v>
      </c>
      <c r="AN10">
        <v>244</v>
      </c>
      <c r="AO10">
        <v>348.0573770492</v>
      </c>
      <c r="AP10">
        <v>47</v>
      </c>
      <c r="AQ10">
        <v>708.38297872340002</v>
      </c>
      <c r="AR10">
        <v>72</v>
      </c>
      <c r="AS10">
        <v>447.125</v>
      </c>
      <c r="AT10">
        <v>4</v>
      </c>
      <c r="AU10">
        <v>68.5</v>
      </c>
      <c r="AV10">
        <v>2</v>
      </c>
      <c r="AW10">
        <v>192</v>
      </c>
    </row>
    <row r="11" spans="2:51" x14ac:dyDescent="0.2">
      <c r="F11" t="s">
        <v>41</v>
      </c>
      <c r="G11">
        <v>13453</v>
      </c>
      <c r="H11">
        <v>9822</v>
      </c>
      <c r="I11">
        <v>606.05416412140005</v>
      </c>
      <c r="J11">
        <v>179</v>
      </c>
      <c r="K11">
        <v>968.94972067039998</v>
      </c>
      <c r="L11">
        <v>2800</v>
      </c>
      <c r="M11">
        <v>1278.1492857143</v>
      </c>
      <c r="N11">
        <v>822</v>
      </c>
      <c r="O11">
        <v>812.85036496350006</v>
      </c>
      <c r="R11">
        <v>9</v>
      </c>
      <c r="S11">
        <v>602.66666666670005</v>
      </c>
      <c r="V11" t="s">
        <v>405</v>
      </c>
      <c r="W11">
        <v>6498</v>
      </c>
      <c r="X11">
        <v>4287</v>
      </c>
      <c r="Y11">
        <v>373.86540704459998</v>
      </c>
      <c r="Z11">
        <v>566</v>
      </c>
      <c r="AA11">
        <v>478.45583038870001</v>
      </c>
      <c r="AB11">
        <v>1298</v>
      </c>
      <c r="AC11">
        <v>619.62326656389996</v>
      </c>
      <c r="AD11">
        <v>539</v>
      </c>
      <c r="AE11">
        <v>473.26716141000003</v>
      </c>
      <c r="AF11">
        <v>372</v>
      </c>
      <c r="AG11">
        <v>167.28225806450001</v>
      </c>
      <c r="AH11">
        <v>2</v>
      </c>
      <c r="AI11">
        <v>1413</v>
      </c>
      <c r="AL11" t="s">
        <v>405</v>
      </c>
      <c r="AM11">
        <v>232</v>
      </c>
      <c r="AN11">
        <v>209</v>
      </c>
      <c r="AO11">
        <v>287.014354067</v>
      </c>
      <c r="AP11">
        <v>19</v>
      </c>
      <c r="AQ11">
        <v>520.31578947369997</v>
      </c>
      <c r="AR11">
        <v>19</v>
      </c>
      <c r="AS11">
        <v>412.2105263158</v>
      </c>
      <c r="AT11">
        <v>3</v>
      </c>
      <c r="AU11">
        <v>215.6666666667</v>
      </c>
      <c r="AV11">
        <v>1</v>
      </c>
      <c r="AW11">
        <v>47</v>
      </c>
    </row>
    <row r="12" spans="2:51" x14ac:dyDescent="0.2">
      <c r="F12" t="s">
        <v>59</v>
      </c>
      <c r="G12">
        <v>2837</v>
      </c>
      <c r="H12">
        <v>2323</v>
      </c>
      <c r="I12">
        <v>286.9285406802</v>
      </c>
      <c r="J12">
        <v>241</v>
      </c>
      <c r="K12">
        <v>585.66804979250003</v>
      </c>
      <c r="L12">
        <v>456</v>
      </c>
      <c r="M12">
        <v>317.87280701750001</v>
      </c>
      <c r="N12">
        <v>57</v>
      </c>
      <c r="O12">
        <v>139.31578947369999</v>
      </c>
      <c r="R12">
        <v>1</v>
      </c>
      <c r="S12">
        <v>130</v>
      </c>
      <c r="V12" t="s">
        <v>407</v>
      </c>
      <c r="W12">
        <v>6667</v>
      </c>
      <c r="X12">
        <v>5287</v>
      </c>
      <c r="Y12">
        <v>284.06014753170001</v>
      </c>
      <c r="Z12">
        <v>469</v>
      </c>
      <c r="AA12">
        <v>544.11300639659999</v>
      </c>
      <c r="AB12">
        <v>479</v>
      </c>
      <c r="AC12">
        <v>263.63048016699997</v>
      </c>
      <c r="AD12">
        <v>471</v>
      </c>
      <c r="AE12">
        <v>352.08067940550001</v>
      </c>
      <c r="AF12">
        <v>422</v>
      </c>
      <c r="AG12">
        <v>166.19194312799999</v>
      </c>
      <c r="AH12">
        <v>8</v>
      </c>
      <c r="AI12">
        <v>251.875</v>
      </c>
      <c r="AL12" t="s">
        <v>407</v>
      </c>
      <c r="AM12">
        <v>185</v>
      </c>
      <c r="AN12">
        <v>165</v>
      </c>
      <c r="AO12">
        <v>314.26666666670002</v>
      </c>
      <c r="AP12">
        <v>23</v>
      </c>
      <c r="AQ12">
        <v>513.21739130430001</v>
      </c>
      <c r="AR12">
        <v>19</v>
      </c>
      <c r="AS12">
        <v>305.7894736842</v>
      </c>
      <c r="AT12">
        <v>1</v>
      </c>
      <c r="AU12">
        <v>52</v>
      </c>
    </row>
    <row r="13" spans="2:51" x14ac:dyDescent="0.2">
      <c r="F13" t="s">
        <v>78</v>
      </c>
      <c r="G13">
        <v>6101</v>
      </c>
      <c r="H13">
        <v>5186</v>
      </c>
      <c r="I13">
        <v>279.15753952950001</v>
      </c>
      <c r="J13">
        <v>460</v>
      </c>
      <c r="K13">
        <v>545.56304347829996</v>
      </c>
      <c r="L13">
        <v>448</v>
      </c>
      <c r="M13">
        <v>223.90625</v>
      </c>
      <c r="N13">
        <v>461</v>
      </c>
      <c r="O13">
        <v>352.06290672450001</v>
      </c>
      <c r="R13">
        <v>6</v>
      </c>
      <c r="S13">
        <v>303.3333333333</v>
      </c>
      <c r="V13" t="s">
        <v>410</v>
      </c>
      <c r="W13">
        <v>1614</v>
      </c>
      <c r="X13">
        <v>466</v>
      </c>
      <c r="Y13">
        <v>126.3197424893</v>
      </c>
      <c r="Z13">
        <v>331</v>
      </c>
      <c r="AA13">
        <v>230.52567975829999</v>
      </c>
      <c r="AB13">
        <v>684</v>
      </c>
      <c r="AC13">
        <v>261.43128654970002</v>
      </c>
      <c r="AD13">
        <v>238</v>
      </c>
      <c r="AE13">
        <v>229.60504201680001</v>
      </c>
      <c r="AF13">
        <v>218</v>
      </c>
      <c r="AG13">
        <v>175.08256880729999</v>
      </c>
      <c r="AH13">
        <v>8</v>
      </c>
      <c r="AI13">
        <v>202.625</v>
      </c>
      <c r="AL13" t="s">
        <v>410</v>
      </c>
      <c r="AM13">
        <v>40</v>
      </c>
      <c r="AN13">
        <v>29</v>
      </c>
      <c r="AO13">
        <v>83.379310344800004</v>
      </c>
      <c r="AP13">
        <v>7</v>
      </c>
      <c r="AQ13">
        <v>252.42857142860001</v>
      </c>
      <c r="AR13">
        <v>9</v>
      </c>
      <c r="AS13">
        <v>151</v>
      </c>
      <c r="AT13">
        <v>1</v>
      </c>
      <c r="AU13">
        <v>95</v>
      </c>
      <c r="AV13">
        <v>1</v>
      </c>
      <c r="AW13">
        <v>393</v>
      </c>
    </row>
    <row r="14" spans="2:51" x14ac:dyDescent="0.2">
      <c r="F14" t="s">
        <v>44</v>
      </c>
      <c r="G14">
        <v>1145</v>
      </c>
      <c r="H14">
        <v>628</v>
      </c>
      <c r="I14">
        <v>149.03662420379999</v>
      </c>
      <c r="J14">
        <v>220</v>
      </c>
      <c r="K14">
        <v>306.61818181820001</v>
      </c>
      <c r="L14">
        <v>391</v>
      </c>
      <c r="M14">
        <v>265.87468030690002</v>
      </c>
      <c r="N14">
        <v>125</v>
      </c>
      <c r="O14">
        <v>244.91200000000001</v>
      </c>
      <c r="R14">
        <v>1</v>
      </c>
      <c r="S14">
        <v>186</v>
      </c>
      <c r="V14" t="s">
        <v>411</v>
      </c>
      <c r="W14">
        <v>2256</v>
      </c>
      <c r="X14">
        <v>1138</v>
      </c>
      <c r="Y14">
        <v>140.5553602812</v>
      </c>
      <c r="Z14">
        <v>454</v>
      </c>
      <c r="AA14">
        <v>269.17621145369998</v>
      </c>
      <c r="AB14">
        <v>787</v>
      </c>
      <c r="AC14">
        <v>322.6429479034</v>
      </c>
      <c r="AD14">
        <v>81</v>
      </c>
      <c r="AE14">
        <v>152.90123456789999</v>
      </c>
      <c r="AF14">
        <v>250</v>
      </c>
      <c r="AG14">
        <v>155.33600000000001</v>
      </c>
      <c r="AL14" t="s">
        <v>411</v>
      </c>
      <c r="AM14">
        <v>42</v>
      </c>
      <c r="AN14">
        <v>26</v>
      </c>
      <c r="AO14">
        <v>67.038461538500002</v>
      </c>
      <c r="AP14">
        <v>20</v>
      </c>
      <c r="AQ14">
        <v>218.55</v>
      </c>
      <c r="AR14">
        <v>13</v>
      </c>
      <c r="AS14">
        <v>244.8461538462</v>
      </c>
      <c r="AT14">
        <v>3</v>
      </c>
      <c r="AU14">
        <v>173.6666666667</v>
      </c>
    </row>
    <row r="15" spans="2:51" x14ac:dyDescent="0.2">
      <c r="F15" t="s">
        <v>77</v>
      </c>
      <c r="G15">
        <v>224</v>
      </c>
      <c r="H15">
        <v>100</v>
      </c>
      <c r="I15">
        <v>95.54</v>
      </c>
      <c r="J15">
        <v>85</v>
      </c>
      <c r="K15">
        <v>194.54117647059999</v>
      </c>
      <c r="L15">
        <v>76</v>
      </c>
      <c r="M15">
        <v>238.93421052630001</v>
      </c>
      <c r="N15">
        <v>46</v>
      </c>
      <c r="O15">
        <v>302.60869565220003</v>
      </c>
      <c r="R15">
        <v>2</v>
      </c>
      <c r="S15">
        <v>363</v>
      </c>
      <c r="V15" t="s">
        <v>406</v>
      </c>
      <c r="W15">
        <v>2995</v>
      </c>
      <c r="X15">
        <v>2341</v>
      </c>
      <c r="Y15">
        <v>295.23665100379998</v>
      </c>
      <c r="Z15">
        <v>241</v>
      </c>
      <c r="AA15">
        <v>573.9253112033</v>
      </c>
      <c r="AB15">
        <v>457</v>
      </c>
      <c r="AC15">
        <v>326.50984682709998</v>
      </c>
      <c r="AD15">
        <v>80</v>
      </c>
      <c r="AE15">
        <v>240.25</v>
      </c>
      <c r="AF15">
        <v>116</v>
      </c>
      <c r="AG15">
        <v>110.5431034483</v>
      </c>
      <c r="AH15">
        <v>1</v>
      </c>
      <c r="AI15">
        <v>130</v>
      </c>
      <c r="AL15" t="s">
        <v>406</v>
      </c>
      <c r="AM15">
        <v>64</v>
      </c>
      <c r="AN15">
        <v>51</v>
      </c>
      <c r="AO15">
        <v>228.862745098</v>
      </c>
      <c r="AP15">
        <v>13</v>
      </c>
      <c r="AQ15">
        <v>279.69230769230001</v>
      </c>
      <c r="AR15">
        <v>9</v>
      </c>
      <c r="AS15">
        <v>228.55555555559999</v>
      </c>
      <c r="AT15">
        <v>3</v>
      </c>
      <c r="AU15">
        <v>84</v>
      </c>
      <c r="AV15">
        <v>1</v>
      </c>
      <c r="AW15">
        <v>163</v>
      </c>
    </row>
    <row r="16" spans="2:51" x14ac:dyDescent="0.2">
      <c r="F16" t="s">
        <v>51</v>
      </c>
      <c r="G16">
        <v>7935</v>
      </c>
      <c r="H16">
        <v>5952</v>
      </c>
      <c r="I16">
        <v>465.078125</v>
      </c>
      <c r="J16">
        <v>259</v>
      </c>
      <c r="K16">
        <v>694.25096525100003</v>
      </c>
      <c r="L16">
        <v>1596</v>
      </c>
      <c r="M16">
        <v>864.74373433580001</v>
      </c>
      <c r="N16">
        <v>387</v>
      </c>
      <c r="O16">
        <v>641.29974160209997</v>
      </c>
      <c r="V16" t="s">
        <v>429</v>
      </c>
      <c r="W16">
        <v>367</v>
      </c>
      <c r="X16">
        <v>267</v>
      </c>
      <c r="Y16">
        <v>229.9925093633</v>
      </c>
      <c r="Z16">
        <v>32</v>
      </c>
      <c r="AA16">
        <v>498.875</v>
      </c>
      <c r="AB16">
        <v>58</v>
      </c>
      <c r="AC16">
        <v>189.775862069</v>
      </c>
      <c r="AD16">
        <v>11</v>
      </c>
      <c r="AE16">
        <v>249.8181818182</v>
      </c>
      <c r="AF16">
        <v>31</v>
      </c>
      <c r="AG16">
        <v>147.09677419350001</v>
      </c>
      <c r="AL16" t="s">
        <v>429</v>
      </c>
      <c r="AM16">
        <v>6</v>
      </c>
      <c r="AN16">
        <v>4</v>
      </c>
      <c r="AO16">
        <v>210</v>
      </c>
      <c r="AP16">
        <v>1</v>
      </c>
      <c r="AQ16">
        <v>317</v>
      </c>
      <c r="AR16">
        <v>1</v>
      </c>
      <c r="AS16">
        <v>254</v>
      </c>
      <c r="AT16">
        <v>1</v>
      </c>
      <c r="AU16">
        <v>44</v>
      </c>
    </row>
    <row r="17" spans="6:49" x14ac:dyDescent="0.2">
      <c r="F17" t="s">
        <v>400</v>
      </c>
      <c r="G17">
        <v>50271</v>
      </c>
      <c r="H17">
        <v>36433</v>
      </c>
      <c r="I17">
        <v>423.0442730492</v>
      </c>
      <c r="J17">
        <v>3351</v>
      </c>
      <c r="K17">
        <v>495.10683378099998</v>
      </c>
      <c r="L17">
        <v>10206</v>
      </c>
      <c r="M17">
        <v>727.18959435629995</v>
      </c>
      <c r="N17">
        <v>3589</v>
      </c>
      <c r="O17">
        <v>540.07244357759998</v>
      </c>
      <c r="R17">
        <v>43</v>
      </c>
      <c r="S17">
        <v>499.41860465119998</v>
      </c>
      <c r="V17" t="s">
        <v>430</v>
      </c>
      <c r="W17">
        <v>193</v>
      </c>
      <c r="X17">
        <v>43</v>
      </c>
      <c r="Y17">
        <v>297.3023255814</v>
      </c>
      <c r="Z17">
        <v>28</v>
      </c>
      <c r="AA17">
        <v>260.07142857140002</v>
      </c>
      <c r="AB17">
        <v>57</v>
      </c>
      <c r="AC17">
        <v>367.98245614040002</v>
      </c>
      <c r="AD17">
        <v>43</v>
      </c>
      <c r="AE17">
        <v>314.74418604649998</v>
      </c>
      <c r="AF17">
        <v>48</v>
      </c>
      <c r="AG17">
        <v>168.0208333333</v>
      </c>
      <c r="AH17">
        <v>2</v>
      </c>
      <c r="AI17">
        <v>363</v>
      </c>
      <c r="AL17" t="s">
        <v>430</v>
      </c>
      <c r="AM17">
        <v>13</v>
      </c>
      <c r="AN17">
        <v>9</v>
      </c>
      <c r="AO17">
        <v>83.777777777799997</v>
      </c>
      <c r="AP17">
        <v>6</v>
      </c>
      <c r="AQ17">
        <v>160.1666666667</v>
      </c>
      <c r="AR17">
        <v>3</v>
      </c>
      <c r="AS17">
        <v>225</v>
      </c>
      <c r="AT17">
        <v>1</v>
      </c>
      <c r="AU17">
        <v>82</v>
      </c>
    </row>
    <row r="18" spans="6:49" x14ac:dyDescent="0.2">
      <c r="F18" t="s">
        <v>71</v>
      </c>
      <c r="G18">
        <v>2473</v>
      </c>
      <c r="H18">
        <v>1979</v>
      </c>
      <c r="I18">
        <v>260.32541687719998</v>
      </c>
      <c r="J18">
        <v>171</v>
      </c>
      <c r="K18">
        <v>681.94152046780005</v>
      </c>
      <c r="L18">
        <v>287</v>
      </c>
      <c r="M18">
        <v>253.29268292680001</v>
      </c>
      <c r="N18">
        <v>200</v>
      </c>
      <c r="O18">
        <v>487.73500000000001</v>
      </c>
      <c r="R18">
        <v>7</v>
      </c>
      <c r="S18">
        <v>661.71428571429999</v>
      </c>
      <c r="V18" t="s">
        <v>400</v>
      </c>
      <c r="W18">
        <v>52332</v>
      </c>
      <c r="X18">
        <v>36063</v>
      </c>
      <c r="Y18">
        <v>423.11796023630001</v>
      </c>
      <c r="Z18">
        <v>3304</v>
      </c>
      <c r="AA18">
        <v>499.5938256659</v>
      </c>
      <c r="AB18">
        <v>10162</v>
      </c>
      <c r="AC18">
        <v>725.77238732529997</v>
      </c>
      <c r="AD18">
        <v>3625</v>
      </c>
      <c r="AE18">
        <v>539.14786206899998</v>
      </c>
      <c r="AF18">
        <v>2438</v>
      </c>
      <c r="AG18">
        <v>177.771123872</v>
      </c>
      <c r="AH18">
        <v>44</v>
      </c>
      <c r="AI18">
        <v>489.38636363640001</v>
      </c>
      <c r="AL18" t="s">
        <v>400</v>
      </c>
      <c r="AM18">
        <v>1320</v>
      </c>
      <c r="AN18">
        <v>1101</v>
      </c>
      <c r="AO18">
        <v>304.96457765669999</v>
      </c>
      <c r="AP18">
        <v>247</v>
      </c>
      <c r="AQ18">
        <v>545.48582995950005</v>
      </c>
      <c r="AR18">
        <v>190</v>
      </c>
      <c r="AS18">
        <v>340.47894736839999</v>
      </c>
      <c r="AT18">
        <v>23</v>
      </c>
      <c r="AU18">
        <v>93.739130434800003</v>
      </c>
      <c r="AV18">
        <v>6</v>
      </c>
      <c r="AW18">
        <v>164.8333333333</v>
      </c>
    </row>
    <row r="19" spans="6:49" x14ac:dyDescent="0.2">
      <c r="F19" t="s">
        <v>37</v>
      </c>
      <c r="G19">
        <v>976</v>
      </c>
      <c r="H19">
        <v>580</v>
      </c>
      <c r="I19">
        <v>244.2051724138</v>
      </c>
      <c r="J19">
        <v>114</v>
      </c>
      <c r="K19">
        <v>426.28070175440001</v>
      </c>
      <c r="L19">
        <v>227</v>
      </c>
      <c r="M19">
        <v>245.36123348020001</v>
      </c>
      <c r="N19">
        <v>164</v>
      </c>
      <c r="O19">
        <v>514.51829268289998</v>
      </c>
      <c r="R19">
        <v>5</v>
      </c>
      <c r="S19">
        <v>283.39999999999998</v>
      </c>
      <c r="V19" t="s">
        <v>418</v>
      </c>
      <c r="W19">
        <v>1070</v>
      </c>
      <c r="X19">
        <v>607</v>
      </c>
      <c r="Y19">
        <v>257.23064250409999</v>
      </c>
      <c r="Z19">
        <v>115</v>
      </c>
      <c r="AA19">
        <v>426.29565217390001</v>
      </c>
      <c r="AB19">
        <v>222</v>
      </c>
      <c r="AC19">
        <v>279.9504504505</v>
      </c>
      <c r="AD19">
        <v>154</v>
      </c>
      <c r="AE19">
        <v>517.19480519479998</v>
      </c>
      <c r="AF19">
        <v>84</v>
      </c>
      <c r="AG19">
        <v>181.3333333333</v>
      </c>
      <c r="AH19">
        <v>3</v>
      </c>
      <c r="AI19">
        <v>368</v>
      </c>
      <c r="AL19" t="s">
        <v>418</v>
      </c>
      <c r="AM19">
        <v>17</v>
      </c>
      <c r="AN19">
        <v>15</v>
      </c>
      <c r="AO19">
        <v>100.2666666667</v>
      </c>
      <c r="AP19">
        <v>10</v>
      </c>
      <c r="AQ19">
        <v>299.2</v>
      </c>
      <c r="AR19">
        <v>2</v>
      </c>
      <c r="AS19">
        <v>240</v>
      </c>
    </row>
    <row r="20" spans="6:49" x14ac:dyDescent="0.2">
      <c r="F20" t="s">
        <v>58</v>
      </c>
      <c r="G20">
        <v>1057</v>
      </c>
      <c r="H20">
        <v>454</v>
      </c>
      <c r="I20">
        <v>176.51101321589999</v>
      </c>
      <c r="J20">
        <v>169</v>
      </c>
      <c r="K20">
        <v>334.08284023670001</v>
      </c>
      <c r="L20">
        <v>268</v>
      </c>
      <c r="M20">
        <v>304.31343283579997</v>
      </c>
      <c r="N20">
        <v>332</v>
      </c>
      <c r="O20">
        <v>543.1144578313</v>
      </c>
      <c r="R20">
        <v>3</v>
      </c>
      <c r="S20">
        <v>479</v>
      </c>
      <c r="V20" t="s">
        <v>434</v>
      </c>
      <c r="W20">
        <v>378</v>
      </c>
      <c r="X20">
        <v>201</v>
      </c>
      <c r="Y20">
        <v>211.36318407959999</v>
      </c>
      <c r="Z20">
        <v>55</v>
      </c>
      <c r="AA20">
        <v>313.69090909089999</v>
      </c>
      <c r="AB20">
        <v>89</v>
      </c>
      <c r="AC20">
        <v>298.86516853929999</v>
      </c>
      <c r="AD20">
        <v>48</v>
      </c>
      <c r="AE20">
        <v>493.5208333333</v>
      </c>
      <c r="AF20">
        <v>38</v>
      </c>
      <c r="AG20">
        <v>86.473684210499997</v>
      </c>
      <c r="AH20">
        <v>2</v>
      </c>
      <c r="AI20">
        <v>391.5</v>
      </c>
      <c r="AL20" t="s">
        <v>434</v>
      </c>
      <c r="AM20">
        <v>3</v>
      </c>
      <c r="AN20">
        <v>3</v>
      </c>
      <c r="AO20">
        <v>157.3333333333</v>
      </c>
      <c r="AP20">
        <v>1</v>
      </c>
      <c r="AQ20">
        <v>253</v>
      </c>
    </row>
    <row r="21" spans="6:49" x14ac:dyDescent="0.2">
      <c r="F21" t="s">
        <v>65</v>
      </c>
      <c r="G21">
        <v>8682</v>
      </c>
      <c r="H21">
        <v>6727</v>
      </c>
      <c r="I21">
        <v>393.85253456219999</v>
      </c>
      <c r="J21">
        <v>600</v>
      </c>
      <c r="K21">
        <v>735.69166666670003</v>
      </c>
      <c r="L21">
        <v>1547</v>
      </c>
      <c r="M21">
        <v>733.33613445380001</v>
      </c>
      <c r="N21">
        <v>401</v>
      </c>
      <c r="O21">
        <v>704.4413965087</v>
      </c>
      <c r="R21">
        <v>7</v>
      </c>
      <c r="S21">
        <v>808.42857142859998</v>
      </c>
      <c r="V21" t="s">
        <v>438</v>
      </c>
      <c r="W21">
        <v>976</v>
      </c>
      <c r="X21">
        <v>727</v>
      </c>
      <c r="Y21">
        <v>299.79504814310002</v>
      </c>
      <c r="Z21">
        <v>74</v>
      </c>
      <c r="AA21">
        <v>574.87837837840004</v>
      </c>
      <c r="AB21">
        <v>132</v>
      </c>
      <c r="AC21">
        <v>343.39393939389998</v>
      </c>
      <c r="AD21">
        <v>49</v>
      </c>
      <c r="AE21">
        <v>472.9387755102</v>
      </c>
      <c r="AF21">
        <v>65</v>
      </c>
      <c r="AG21">
        <v>139.38461538460001</v>
      </c>
      <c r="AH21">
        <v>3</v>
      </c>
      <c r="AI21">
        <v>160.6666666667</v>
      </c>
      <c r="AL21" t="s">
        <v>438</v>
      </c>
      <c r="AM21">
        <v>13</v>
      </c>
      <c r="AN21">
        <v>7</v>
      </c>
      <c r="AO21">
        <v>266.28571428570001</v>
      </c>
      <c r="AP21">
        <v>3</v>
      </c>
      <c r="AQ21">
        <v>273.3333333333</v>
      </c>
      <c r="AR21">
        <v>5</v>
      </c>
      <c r="AS21">
        <v>213.8</v>
      </c>
      <c r="AT21">
        <v>1</v>
      </c>
      <c r="AU21">
        <v>46</v>
      </c>
    </row>
    <row r="22" spans="6:49" x14ac:dyDescent="0.2">
      <c r="F22" t="s">
        <v>67</v>
      </c>
      <c r="G22">
        <v>6877</v>
      </c>
      <c r="H22">
        <v>4743</v>
      </c>
      <c r="I22">
        <v>339.30550284629999</v>
      </c>
      <c r="J22">
        <v>384</v>
      </c>
      <c r="K22">
        <v>672.79427083329995</v>
      </c>
      <c r="L22">
        <v>1779</v>
      </c>
      <c r="M22">
        <v>698.08937605400001</v>
      </c>
      <c r="N22">
        <v>338</v>
      </c>
      <c r="O22">
        <v>670.64792899409997</v>
      </c>
      <c r="R22">
        <v>17</v>
      </c>
      <c r="S22">
        <v>756.0588235294</v>
      </c>
      <c r="V22" t="s">
        <v>423</v>
      </c>
      <c r="W22">
        <v>2578</v>
      </c>
      <c r="X22">
        <v>1943</v>
      </c>
      <c r="Y22">
        <v>262.78538342770003</v>
      </c>
      <c r="Z22">
        <v>155</v>
      </c>
      <c r="AA22">
        <v>639.82580645159999</v>
      </c>
      <c r="AB22">
        <v>293</v>
      </c>
      <c r="AC22">
        <v>285.90784982939999</v>
      </c>
      <c r="AD22">
        <v>206</v>
      </c>
      <c r="AE22">
        <v>461.54368932040001</v>
      </c>
      <c r="AF22">
        <v>130</v>
      </c>
      <c r="AG22">
        <v>224.7076923077</v>
      </c>
      <c r="AH22">
        <v>6</v>
      </c>
      <c r="AI22">
        <v>550</v>
      </c>
      <c r="AL22" t="s">
        <v>423</v>
      </c>
      <c r="AM22">
        <v>63</v>
      </c>
      <c r="AN22">
        <v>46</v>
      </c>
      <c r="AO22">
        <v>129.9565217391</v>
      </c>
      <c r="AP22">
        <v>31</v>
      </c>
      <c r="AQ22">
        <v>258.61290322579998</v>
      </c>
      <c r="AR22">
        <v>11</v>
      </c>
      <c r="AS22">
        <v>195.8181818182</v>
      </c>
      <c r="AT22">
        <v>6</v>
      </c>
      <c r="AU22">
        <v>142.8333333333</v>
      </c>
    </row>
    <row r="23" spans="6:49" x14ac:dyDescent="0.2">
      <c r="F23" t="s">
        <v>76</v>
      </c>
      <c r="G23">
        <v>4282</v>
      </c>
      <c r="H23">
        <v>3228</v>
      </c>
      <c r="I23">
        <v>281.89374225530003</v>
      </c>
      <c r="J23">
        <v>342</v>
      </c>
      <c r="K23">
        <v>565.80701754389997</v>
      </c>
      <c r="L23">
        <v>819</v>
      </c>
      <c r="M23">
        <v>442.74969474969998</v>
      </c>
      <c r="N23">
        <v>228</v>
      </c>
      <c r="O23">
        <v>575.58333333329995</v>
      </c>
      <c r="R23">
        <v>7</v>
      </c>
      <c r="S23">
        <v>376</v>
      </c>
      <c r="V23" t="s">
        <v>419</v>
      </c>
      <c r="W23">
        <v>5352</v>
      </c>
      <c r="X23">
        <v>3408</v>
      </c>
      <c r="Y23">
        <v>370.5903755869</v>
      </c>
      <c r="Z23">
        <v>346</v>
      </c>
      <c r="AA23">
        <v>610.74566473990001</v>
      </c>
      <c r="AB23">
        <v>1572</v>
      </c>
      <c r="AC23">
        <v>522.59033078879997</v>
      </c>
      <c r="AD23">
        <v>199</v>
      </c>
      <c r="AE23">
        <v>493.37688442209998</v>
      </c>
      <c r="AF23">
        <v>163</v>
      </c>
      <c r="AG23">
        <v>186.13496932519999</v>
      </c>
      <c r="AH23">
        <v>10</v>
      </c>
      <c r="AI23">
        <v>397.4</v>
      </c>
      <c r="AL23" t="s">
        <v>419</v>
      </c>
      <c r="AM23">
        <v>50</v>
      </c>
      <c r="AN23">
        <v>38</v>
      </c>
      <c r="AO23">
        <v>99.842105263199997</v>
      </c>
      <c r="AP23">
        <v>30</v>
      </c>
      <c r="AQ23">
        <v>346.7</v>
      </c>
      <c r="AR23">
        <v>12</v>
      </c>
      <c r="AS23">
        <v>343.5833333333</v>
      </c>
    </row>
    <row r="24" spans="6:49" x14ac:dyDescent="0.2">
      <c r="F24" t="s">
        <v>48</v>
      </c>
      <c r="G24">
        <v>1145</v>
      </c>
      <c r="H24">
        <v>892</v>
      </c>
      <c r="I24">
        <v>299.46412556050001</v>
      </c>
      <c r="J24">
        <v>85</v>
      </c>
      <c r="K24">
        <v>557.49411764709998</v>
      </c>
      <c r="L24">
        <v>190</v>
      </c>
      <c r="M24">
        <v>389.7</v>
      </c>
      <c r="N24">
        <v>59</v>
      </c>
      <c r="O24">
        <v>506.7457627119</v>
      </c>
      <c r="R24">
        <v>4</v>
      </c>
      <c r="S24">
        <v>149</v>
      </c>
      <c r="V24" t="s">
        <v>436</v>
      </c>
      <c r="W24">
        <v>6899</v>
      </c>
      <c r="X24">
        <v>4695</v>
      </c>
      <c r="Y24">
        <v>340.31054313099997</v>
      </c>
      <c r="Z24">
        <v>387</v>
      </c>
      <c r="AA24">
        <v>667.27131782950005</v>
      </c>
      <c r="AB24">
        <v>1706</v>
      </c>
      <c r="AC24">
        <v>676.46717467760004</v>
      </c>
      <c r="AD24">
        <v>336</v>
      </c>
      <c r="AE24">
        <v>638.82142857140002</v>
      </c>
      <c r="AF24">
        <v>145</v>
      </c>
      <c r="AG24">
        <v>240.11034482759999</v>
      </c>
      <c r="AH24">
        <v>17</v>
      </c>
      <c r="AI24">
        <v>781.52941176469994</v>
      </c>
      <c r="AL24" t="s">
        <v>436</v>
      </c>
      <c r="AM24">
        <v>81</v>
      </c>
      <c r="AN24">
        <v>61</v>
      </c>
      <c r="AO24">
        <v>140.8852459016</v>
      </c>
      <c r="AP24">
        <v>38</v>
      </c>
      <c r="AQ24">
        <v>277.39473684209997</v>
      </c>
      <c r="AR24">
        <v>18</v>
      </c>
      <c r="AS24">
        <v>249.1111111111</v>
      </c>
      <c r="AT24">
        <v>1</v>
      </c>
      <c r="AU24">
        <v>73</v>
      </c>
      <c r="AV24">
        <v>1</v>
      </c>
      <c r="AW24">
        <v>54</v>
      </c>
    </row>
    <row r="25" spans="6:49" x14ac:dyDescent="0.2">
      <c r="F25" t="s">
        <v>69</v>
      </c>
      <c r="G25">
        <v>5259</v>
      </c>
      <c r="H25">
        <v>3441</v>
      </c>
      <c r="I25">
        <v>372.0598663179</v>
      </c>
      <c r="J25">
        <v>359</v>
      </c>
      <c r="K25">
        <v>618.37325905290004</v>
      </c>
      <c r="L25">
        <v>1612</v>
      </c>
      <c r="M25">
        <v>528.38833746900002</v>
      </c>
      <c r="N25">
        <v>198</v>
      </c>
      <c r="O25">
        <v>504.15656565659998</v>
      </c>
      <c r="R25">
        <v>8</v>
      </c>
      <c r="S25">
        <v>372.75</v>
      </c>
      <c r="V25" t="s">
        <v>417</v>
      </c>
      <c r="W25">
        <v>17696</v>
      </c>
      <c r="X25">
        <v>13375</v>
      </c>
      <c r="Y25">
        <v>339.81218691589999</v>
      </c>
      <c r="Z25">
        <v>1888</v>
      </c>
      <c r="AA25">
        <v>556.92531779659998</v>
      </c>
      <c r="AB25">
        <v>2811</v>
      </c>
      <c r="AC25">
        <v>525.81643543220002</v>
      </c>
      <c r="AD25">
        <v>840</v>
      </c>
      <c r="AE25">
        <v>532.11904761899996</v>
      </c>
      <c r="AF25">
        <v>655</v>
      </c>
      <c r="AG25">
        <v>192.28244274810001</v>
      </c>
      <c r="AH25">
        <v>15</v>
      </c>
      <c r="AI25">
        <v>525.13333333330002</v>
      </c>
      <c r="AL25" t="s">
        <v>417</v>
      </c>
      <c r="AM25">
        <v>346</v>
      </c>
      <c r="AN25">
        <v>261</v>
      </c>
      <c r="AO25">
        <v>169.78160919539999</v>
      </c>
      <c r="AP25">
        <v>156</v>
      </c>
      <c r="AQ25">
        <v>276.21794871790001</v>
      </c>
      <c r="AR25">
        <v>74</v>
      </c>
      <c r="AS25">
        <v>215.68918918919999</v>
      </c>
      <c r="AT25">
        <v>10</v>
      </c>
      <c r="AU25">
        <v>83.9</v>
      </c>
      <c r="AV25">
        <v>1</v>
      </c>
      <c r="AW25">
        <v>46</v>
      </c>
    </row>
    <row r="26" spans="6:49" x14ac:dyDescent="0.2">
      <c r="F26" t="s">
        <v>35</v>
      </c>
      <c r="G26">
        <v>310</v>
      </c>
      <c r="H26">
        <v>171</v>
      </c>
      <c r="I26">
        <v>182.8713450292</v>
      </c>
      <c r="J26">
        <v>51</v>
      </c>
      <c r="K26">
        <v>265.54901960780001</v>
      </c>
      <c r="L26">
        <v>82</v>
      </c>
      <c r="M26">
        <v>259.82926829270002</v>
      </c>
      <c r="N26">
        <v>54</v>
      </c>
      <c r="O26">
        <v>509.74074074070001</v>
      </c>
      <c r="R26">
        <v>3</v>
      </c>
      <c r="S26">
        <v>441</v>
      </c>
      <c r="V26" t="s">
        <v>415</v>
      </c>
      <c r="W26">
        <v>1945</v>
      </c>
      <c r="X26">
        <v>1508</v>
      </c>
      <c r="Y26">
        <v>317.06962864719998</v>
      </c>
      <c r="Z26">
        <v>233</v>
      </c>
      <c r="AA26">
        <v>577.62231759660006</v>
      </c>
      <c r="AB26">
        <v>252</v>
      </c>
      <c r="AC26">
        <v>343.67857142859998</v>
      </c>
      <c r="AD26">
        <v>107</v>
      </c>
      <c r="AE26">
        <v>394.56074766360001</v>
      </c>
      <c r="AF26">
        <v>78</v>
      </c>
      <c r="AG26">
        <v>143.1794871795</v>
      </c>
      <c r="AL26" t="s">
        <v>415</v>
      </c>
      <c r="AM26">
        <v>28</v>
      </c>
      <c r="AN26">
        <v>22</v>
      </c>
      <c r="AO26">
        <v>149.7272727273</v>
      </c>
      <c r="AP26">
        <v>19</v>
      </c>
      <c r="AQ26">
        <v>222.1052631579</v>
      </c>
      <c r="AR26">
        <v>6</v>
      </c>
      <c r="AS26">
        <v>159.3333333333</v>
      </c>
    </row>
    <row r="27" spans="6:49" x14ac:dyDescent="0.2">
      <c r="F27" t="s">
        <v>74</v>
      </c>
      <c r="G27">
        <v>3801</v>
      </c>
      <c r="H27">
        <v>3198</v>
      </c>
      <c r="I27">
        <v>198.55784865539999</v>
      </c>
      <c r="J27">
        <v>813</v>
      </c>
      <c r="K27">
        <v>313.11562115620001</v>
      </c>
      <c r="L27">
        <v>464</v>
      </c>
      <c r="M27">
        <v>147.09051724139999</v>
      </c>
      <c r="N27">
        <v>134</v>
      </c>
      <c r="O27">
        <v>200.67164179100001</v>
      </c>
      <c r="R27">
        <v>5</v>
      </c>
      <c r="S27">
        <v>192</v>
      </c>
      <c r="V27" t="s">
        <v>83</v>
      </c>
      <c r="W27">
        <v>4498</v>
      </c>
      <c r="X27">
        <v>3232</v>
      </c>
      <c r="Y27">
        <v>283.20111386140002</v>
      </c>
      <c r="Z27">
        <v>342</v>
      </c>
      <c r="AA27">
        <v>559.85672514620001</v>
      </c>
      <c r="AB27">
        <v>845</v>
      </c>
      <c r="AC27">
        <v>471.46863905330002</v>
      </c>
      <c r="AD27">
        <v>234</v>
      </c>
      <c r="AE27">
        <v>545.95299145299998</v>
      </c>
      <c r="AF27">
        <v>182</v>
      </c>
      <c r="AG27">
        <v>159.81318681319999</v>
      </c>
      <c r="AH27">
        <v>5</v>
      </c>
      <c r="AI27">
        <v>269</v>
      </c>
      <c r="AL27" t="s">
        <v>83</v>
      </c>
      <c r="AM27">
        <v>84</v>
      </c>
      <c r="AN27">
        <v>63</v>
      </c>
      <c r="AO27">
        <v>126.619047619</v>
      </c>
      <c r="AP27">
        <v>31</v>
      </c>
      <c r="AQ27">
        <v>345.41935483869997</v>
      </c>
      <c r="AR27">
        <v>19</v>
      </c>
      <c r="AS27">
        <v>188.52631578949999</v>
      </c>
      <c r="AV27">
        <v>2</v>
      </c>
      <c r="AW27">
        <v>56.5</v>
      </c>
    </row>
    <row r="28" spans="6:49" x14ac:dyDescent="0.2">
      <c r="F28" t="s">
        <v>34</v>
      </c>
      <c r="G28">
        <v>1824</v>
      </c>
      <c r="H28">
        <v>1477</v>
      </c>
      <c r="I28">
        <v>318.42112389980002</v>
      </c>
      <c r="J28">
        <v>238</v>
      </c>
      <c r="K28">
        <v>581.42016806720005</v>
      </c>
      <c r="L28">
        <v>247</v>
      </c>
      <c r="M28">
        <v>328.59919028339999</v>
      </c>
      <c r="N28">
        <v>100</v>
      </c>
      <c r="O28">
        <v>363.43</v>
      </c>
      <c r="V28" t="s">
        <v>414</v>
      </c>
      <c r="W28">
        <v>41392</v>
      </c>
      <c r="X28">
        <v>29696</v>
      </c>
      <c r="Y28">
        <v>327.5300040409</v>
      </c>
      <c r="Z28">
        <v>3595</v>
      </c>
      <c r="AA28">
        <v>571.64812239219998</v>
      </c>
      <c r="AB28">
        <v>7922</v>
      </c>
      <c r="AC28">
        <v>524.67558697300001</v>
      </c>
      <c r="AD28">
        <v>2173</v>
      </c>
      <c r="AE28">
        <v>529.85089737689998</v>
      </c>
      <c r="AF28">
        <v>1540</v>
      </c>
      <c r="AG28">
        <v>187.1071428571</v>
      </c>
      <c r="AH28">
        <v>61</v>
      </c>
      <c r="AI28">
        <v>527.06557377050001</v>
      </c>
      <c r="AL28" t="s">
        <v>414</v>
      </c>
      <c r="AM28">
        <v>685</v>
      </c>
      <c r="AN28">
        <v>516</v>
      </c>
      <c r="AO28">
        <v>150.7558139535</v>
      </c>
      <c r="AP28">
        <v>319</v>
      </c>
      <c r="AQ28">
        <v>285.39811912229999</v>
      </c>
      <c r="AR28">
        <v>147</v>
      </c>
      <c r="AS28">
        <v>223.19047619049999</v>
      </c>
      <c r="AT28">
        <v>18</v>
      </c>
      <c r="AU28">
        <v>100.8333333333</v>
      </c>
      <c r="AV28">
        <v>4</v>
      </c>
      <c r="AW28">
        <v>53.25</v>
      </c>
    </row>
    <row r="29" spans="6:49" x14ac:dyDescent="0.2">
      <c r="F29" t="s">
        <v>55</v>
      </c>
      <c r="G29">
        <v>4506</v>
      </c>
      <c r="H29">
        <v>3482</v>
      </c>
      <c r="I29">
        <v>356.57294658239999</v>
      </c>
      <c r="J29">
        <v>489</v>
      </c>
      <c r="K29">
        <v>748.51533742330002</v>
      </c>
      <c r="L29">
        <v>779</v>
      </c>
      <c r="M29">
        <v>347.540436457</v>
      </c>
      <c r="N29">
        <v>244</v>
      </c>
      <c r="O29">
        <v>410.93442622949999</v>
      </c>
      <c r="R29">
        <v>1</v>
      </c>
      <c r="S29">
        <v>739</v>
      </c>
      <c r="V29" t="s">
        <v>398</v>
      </c>
      <c r="W29">
        <v>10739</v>
      </c>
      <c r="X29">
        <v>5490</v>
      </c>
      <c r="Y29">
        <v>320.83588342439998</v>
      </c>
      <c r="Z29">
        <v>817</v>
      </c>
      <c r="AA29">
        <v>686.88372093019996</v>
      </c>
      <c r="AB29">
        <v>3642</v>
      </c>
      <c r="AC29">
        <v>882.48846787479999</v>
      </c>
      <c r="AD29">
        <v>1077</v>
      </c>
      <c r="AE29">
        <v>557.6527390901</v>
      </c>
      <c r="AF29">
        <v>519</v>
      </c>
      <c r="AG29">
        <v>202.0366088632</v>
      </c>
      <c r="AH29">
        <v>11</v>
      </c>
      <c r="AI29">
        <v>404.27272727270002</v>
      </c>
      <c r="AL29" t="s">
        <v>398</v>
      </c>
      <c r="AM29">
        <v>179</v>
      </c>
      <c r="AN29">
        <v>137</v>
      </c>
      <c r="AO29">
        <v>275.13868613139999</v>
      </c>
      <c r="AP29">
        <v>8</v>
      </c>
      <c r="AQ29">
        <v>506.75</v>
      </c>
      <c r="AR29">
        <v>38</v>
      </c>
      <c r="AS29">
        <v>376.10526315790003</v>
      </c>
      <c r="AT29">
        <v>4</v>
      </c>
      <c r="AU29">
        <v>25.25</v>
      </c>
    </row>
    <row r="30" spans="6:49" x14ac:dyDescent="0.2">
      <c r="F30" t="s">
        <v>414</v>
      </c>
      <c r="G30">
        <v>41192</v>
      </c>
      <c r="H30">
        <v>30372</v>
      </c>
      <c r="I30">
        <v>323.69346766759998</v>
      </c>
      <c r="J30">
        <v>3815</v>
      </c>
      <c r="K30">
        <v>565.35596330279998</v>
      </c>
      <c r="L30">
        <v>8301</v>
      </c>
      <c r="M30">
        <v>519.96036622090003</v>
      </c>
      <c r="N30">
        <v>2452</v>
      </c>
      <c r="O30">
        <v>539.71574225120003</v>
      </c>
      <c r="R30">
        <v>67</v>
      </c>
      <c r="S30">
        <v>525.82089552239995</v>
      </c>
      <c r="V30" t="s">
        <v>435</v>
      </c>
      <c r="W30">
        <v>27952</v>
      </c>
      <c r="X30">
        <v>23478</v>
      </c>
      <c r="Y30">
        <v>451.8436834483</v>
      </c>
      <c r="Z30">
        <v>1583</v>
      </c>
      <c r="AA30">
        <v>774.39987365759998</v>
      </c>
      <c r="AB30">
        <v>1676</v>
      </c>
      <c r="AC30">
        <v>407.49105011929998</v>
      </c>
      <c r="AD30">
        <v>1731</v>
      </c>
      <c r="AE30">
        <v>349.20450606589998</v>
      </c>
      <c r="AF30">
        <v>1059</v>
      </c>
      <c r="AG30">
        <v>176.4060434372</v>
      </c>
      <c r="AH30">
        <v>8</v>
      </c>
      <c r="AI30">
        <v>470.75</v>
      </c>
      <c r="AL30" t="s">
        <v>435</v>
      </c>
      <c r="AM30">
        <v>480</v>
      </c>
      <c r="AN30">
        <v>410</v>
      </c>
      <c r="AO30">
        <v>272.93414634150002</v>
      </c>
      <c r="AP30">
        <v>86</v>
      </c>
      <c r="AQ30">
        <v>380.55813953490002</v>
      </c>
      <c r="AR30">
        <v>56</v>
      </c>
      <c r="AS30">
        <v>205.5178571429</v>
      </c>
      <c r="AT30">
        <v>13</v>
      </c>
      <c r="AU30">
        <v>134.4615384615</v>
      </c>
      <c r="AV30">
        <v>1</v>
      </c>
      <c r="AW30">
        <v>71</v>
      </c>
    </row>
    <row r="31" spans="6:49" x14ac:dyDescent="0.2">
      <c r="F31" t="s">
        <v>25</v>
      </c>
      <c r="G31">
        <v>15650</v>
      </c>
      <c r="H31">
        <v>12684</v>
      </c>
      <c r="I31">
        <v>558.65011037529996</v>
      </c>
      <c r="J31">
        <v>712</v>
      </c>
      <c r="K31">
        <v>904.06882022469995</v>
      </c>
      <c r="L31">
        <v>2234</v>
      </c>
      <c r="M31">
        <v>486.85765443150001</v>
      </c>
      <c r="N31">
        <v>724</v>
      </c>
      <c r="O31">
        <v>410.50828729279999</v>
      </c>
      <c r="R31">
        <v>8</v>
      </c>
      <c r="S31">
        <v>456.625</v>
      </c>
      <c r="V31" t="s">
        <v>391</v>
      </c>
      <c r="W31">
        <v>16200</v>
      </c>
      <c r="X31">
        <v>12592</v>
      </c>
      <c r="Y31">
        <v>555.65168360860002</v>
      </c>
      <c r="Z31">
        <v>726</v>
      </c>
      <c r="AA31">
        <v>886.8746556474</v>
      </c>
      <c r="AB31">
        <v>2309</v>
      </c>
      <c r="AC31">
        <v>505.35339974009997</v>
      </c>
      <c r="AD31">
        <v>761</v>
      </c>
      <c r="AE31">
        <v>420.68199737190002</v>
      </c>
      <c r="AF31">
        <v>530</v>
      </c>
      <c r="AG31">
        <v>156.04150943400001</v>
      </c>
      <c r="AH31">
        <v>8</v>
      </c>
      <c r="AI31">
        <v>456.625</v>
      </c>
      <c r="AL31" t="s">
        <v>391</v>
      </c>
      <c r="AM31">
        <v>340</v>
      </c>
      <c r="AN31">
        <v>287</v>
      </c>
      <c r="AO31">
        <v>272.22996515680001</v>
      </c>
      <c r="AP31">
        <v>70</v>
      </c>
      <c r="AQ31">
        <v>479.14285714290003</v>
      </c>
      <c r="AR31">
        <v>40</v>
      </c>
      <c r="AS31">
        <v>213.57499999999999</v>
      </c>
      <c r="AT31">
        <v>12</v>
      </c>
      <c r="AU31">
        <v>282.8333333333</v>
      </c>
      <c r="AV31">
        <v>1</v>
      </c>
      <c r="AW31">
        <v>120</v>
      </c>
    </row>
    <row r="32" spans="6:49" x14ac:dyDescent="0.2">
      <c r="F32" t="s">
        <v>42</v>
      </c>
      <c r="G32">
        <v>11100</v>
      </c>
      <c r="H32">
        <v>8238</v>
      </c>
      <c r="I32">
        <v>319.99987861130001</v>
      </c>
      <c r="J32">
        <v>255</v>
      </c>
      <c r="K32">
        <v>761.20784313729996</v>
      </c>
      <c r="L32">
        <v>2036</v>
      </c>
      <c r="M32">
        <v>554.29960707270004</v>
      </c>
      <c r="N32">
        <v>801</v>
      </c>
      <c r="O32">
        <v>575.10986267169994</v>
      </c>
      <c r="R32">
        <v>25</v>
      </c>
      <c r="S32">
        <v>782.88</v>
      </c>
      <c r="V32" t="s">
        <v>403</v>
      </c>
      <c r="W32">
        <v>3245</v>
      </c>
      <c r="X32">
        <v>2163</v>
      </c>
      <c r="Y32">
        <v>476.09939898290003</v>
      </c>
      <c r="Z32">
        <v>292</v>
      </c>
      <c r="AA32">
        <v>465.8287671233</v>
      </c>
      <c r="AB32">
        <v>447</v>
      </c>
      <c r="AC32">
        <v>695.93512304249998</v>
      </c>
      <c r="AD32">
        <v>431</v>
      </c>
      <c r="AE32">
        <v>526.01160092810005</v>
      </c>
      <c r="AF32">
        <v>196</v>
      </c>
      <c r="AG32">
        <v>163.51530612240001</v>
      </c>
      <c r="AH32">
        <v>8</v>
      </c>
      <c r="AI32">
        <v>458.75</v>
      </c>
      <c r="AL32" t="s">
        <v>403</v>
      </c>
      <c r="AM32">
        <v>113</v>
      </c>
      <c r="AN32">
        <v>95</v>
      </c>
      <c r="AO32">
        <v>429.98947368419999</v>
      </c>
      <c r="AP32">
        <v>12</v>
      </c>
      <c r="AQ32">
        <v>581.91666666670005</v>
      </c>
      <c r="AR32">
        <v>15</v>
      </c>
      <c r="AS32">
        <v>400.46666666670001</v>
      </c>
      <c r="AT32">
        <v>2</v>
      </c>
      <c r="AU32">
        <v>40</v>
      </c>
      <c r="AV32">
        <v>1</v>
      </c>
      <c r="AW32">
        <v>423</v>
      </c>
    </row>
    <row r="33" spans="6:49" x14ac:dyDescent="0.2">
      <c r="F33" t="s">
        <v>75</v>
      </c>
      <c r="G33">
        <v>5663</v>
      </c>
      <c r="H33">
        <v>2452</v>
      </c>
      <c r="I33">
        <v>396.19004893959999</v>
      </c>
      <c r="J33">
        <v>364</v>
      </c>
      <c r="K33">
        <v>401.6565934066</v>
      </c>
      <c r="L33">
        <v>2253</v>
      </c>
      <c r="M33">
        <v>648.65601420329995</v>
      </c>
      <c r="N33">
        <v>958</v>
      </c>
      <c r="O33">
        <v>923.39979123169996</v>
      </c>
      <c r="V33" t="s">
        <v>394</v>
      </c>
      <c r="W33">
        <v>6912</v>
      </c>
      <c r="X33">
        <v>4035</v>
      </c>
      <c r="Y33">
        <v>289.32267657990002</v>
      </c>
      <c r="Z33">
        <v>520</v>
      </c>
      <c r="AA33">
        <v>574.67692307690004</v>
      </c>
      <c r="AB33">
        <v>1550</v>
      </c>
      <c r="AC33">
        <v>388.61096774190003</v>
      </c>
      <c r="AD33">
        <v>797</v>
      </c>
      <c r="AE33">
        <v>460.47804266000003</v>
      </c>
      <c r="AF33">
        <v>516</v>
      </c>
      <c r="AG33">
        <v>186.19573643410001</v>
      </c>
      <c r="AH33">
        <v>14</v>
      </c>
      <c r="AI33">
        <v>372.28571428570001</v>
      </c>
      <c r="AL33" t="s">
        <v>394</v>
      </c>
      <c r="AM33">
        <v>221</v>
      </c>
      <c r="AN33">
        <v>187</v>
      </c>
      <c r="AO33">
        <v>247.3475935829</v>
      </c>
      <c r="AP33">
        <v>26</v>
      </c>
      <c r="AQ33">
        <v>495.19230769230001</v>
      </c>
      <c r="AR33">
        <v>31</v>
      </c>
      <c r="AS33">
        <v>389.77419354839998</v>
      </c>
      <c r="AT33">
        <v>3</v>
      </c>
      <c r="AU33">
        <v>203.3333333333</v>
      </c>
    </row>
    <row r="34" spans="6:49" x14ac:dyDescent="0.2">
      <c r="F34" t="s">
        <v>61</v>
      </c>
      <c r="G34">
        <v>6236</v>
      </c>
      <c r="H34">
        <v>3920</v>
      </c>
      <c r="I34">
        <v>270.92091836729998</v>
      </c>
      <c r="J34">
        <v>505</v>
      </c>
      <c r="K34">
        <v>565.64950495050005</v>
      </c>
      <c r="L34">
        <v>1505</v>
      </c>
      <c r="M34">
        <v>362.84053156149997</v>
      </c>
      <c r="N34">
        <v>796</v>
      </c>
      <c r="O34">
        <v>451.68718592959999</v>
      </c>
      <c r="R34">
        <v>15</v>
      </c>
      <c r="S34">
        <v>350.46666666670001</v>
      </c>
      <c r="V34" t="s">
        <v>437</v>
      </c>
      <c r="W34">
        <v>5744</v>
      </c>
      <c r="X34">
        <v>2391</v>
      </c>
      <c r="Y34">
        <v>395.19322459220001</v>
      </c>
      <c r="Z34">
        <v>361</v>
      </c>
      <c r="AA34">
        <v>405.39335180059999</v>
      </c>
      <c r="AB34">
        <v>2191</v>
      </c>
      <c r="AC34">
        <v>648.02145139209995</v>
      </c>
      <c r="AD34">
        <v>940</v>
      </c>
      <c r="AE34">
        <v>918.31489361700005</v>
      </c>
      <c r="AF34">
        <v>222</v>
      </c>
      <c r="AG34">
        <v>229.23423423419999</v>
      </c>
      <c r="AL34" t="s">
        <v>437</v>
      </c>
      <c r="AM34">
        <v>100</v>
      </c>
      <c r="AN34">
        <v>78</v>
      </c>
      <c r="AO34">
        <v>227.6538461538</v>
      </c>
      <c r="AP34">
        <v>13</v>
      </c>
      <c r="AQ34">
        <v>388.15384615379998</v>
      </c>
      <c r="AR34">
        <v>14</v>
      </c>
      <c r="AS34">
        <v>282.71428571429999</v>
      </c>
      <c r="AT34">
        <v>6</v>
      </c>
      <c r="AU34">
        <v>76.166666666699996</v>
      </c>
      <c r="AV34">
        <v>2</v>
      </c>
      <c r="AW34">
        <v>86.5</v>
      </c>
    </row>
    <row r="35" spans="6:49" x14ac:dyDescent="0.2">
      <c r="F35" t="s">
        <v>56</v>
      </c>
      <c r="G35">
        <v>4418</v>
      </c>
      <c r="H35">
        <v>3096</v>
      </c>
      <c r="I35">
        <v>488.94379844960002</v>
      </c>
      <c r="J35">
        <v>479</v>
      </c>
      <c r="K35">
        <v>452.62839248429998</v>
      </c>
      <c r="L35">
        <v>715</v>
      </c>
      <c r="M35">
        <v>664.67272727269994</v>
      </c>
      <c r="N35">
        <v>599</v>
      </c>
      <c r="O35">
        <v>554.23706176960002</v>
      </c>
      <c r="R35">
        <v>8</v>
      </c>
      <c r="S35">
        <v>458.75</v>
      </c>
      <c r="V35" t="s">
        <v>393</v>
      </c>
      <c r="W35">
        <v>11455</v>
      </c>
      <c r="X35">
        <v>8158</v>
      </c>
      <c r="Y35">
        <v>325.99411620500001</v>
      </c>
      <c r="Z35">
        <v>258</v>
      </c>
      <c r="AA35">
        <v>754.41860465119998</v>
      </c>
      <c r="AB35">
        <v>2035</v>
      </c>
      <c r="AC35">
        <v>550.03636363639998</v>
      </c>
      <c r="AD35">
        <v>795</v>
      </c>
      <c r="AE35">
        <v>569.93459119500005</v>
      </c>
      <c r="AF35">
        <v>442</v>
      </c>
      <c r="AG35">
        <v>168.93665158370001</v>
      </c>
      <c r="AH35">
        <v>25</v>
      </c>
      <c r="AI35">
        <v>782.88</v>
      </c>
      <c r="AL35" t="s">
        <v>393</v>
      </c>
      <c r="AM35">
        <v>154</v>
      </c>
      <c r="AN35">
        <v>125</v>
      </c>
      <c r="AO35">
        <v>220.34399999999999</v>
      </c>
      <c r="AP35">
        <v>28</v>
      </c>
      <c r="AQ35">
        <v>381.28571428570001</v>
      </c>
      <c r="AR35">
        <v>20</v>
      </c>
      <c r="AS35">
        <v>181.25</v>
      </c>
      <c r="AT35">
        <v>7</v>
      </c>
      <c r="AU35">
        <v>160</v>
      </c>
      <c r="AV35">
        <v>2</v>
      </c>
      <c r="AW35">
        <v>400</v>
      </c>
    </row>
    <row r="36" spans="6:49" x14ac:dyDescent="0.2">
      <c r="F36" t="s">
        <v>60</v>
      </c>
      <c r="G36">
        <v>10300</v>
      </c>
      <c r="H36">
        <v>5500</v>
      </c>
      <c r="I36">
        <v>315.37709090909999</v>
      </c>
      <c r="J36">
        <v>835</v>
      </c>
      <c r="K36">
        <v>688.34730538919996</v>
      </c>
      <c r="L36">
        <v>3702</v>
      </c>
      <c r="M36">
        <v>885.0467314965</v>
      </c>
      <c r="N36">
        <v>1087</v>
      </c>
      <c r="O36">
        <v>552.4231830727</v>
      </c>
      <c r="R36">
        <v>11</v>
      </c>
      <c r="S36">
        <v>404.27272727270002</v>
      </c>
      <c r="V36" t="s">
        <v>390</v>
      </c>
      <c r="W36">
        <v>82247</v>
      </c>
      <c r="X36">
        <v>58307</v>
      </c>
      <c r="Y36">
        <v>431.64848131439999</v>
      </c>
      <c r="Z36">
        <v>4557</v>
      </c>
      <c r="AA36">
        <v>703.70221637040004</v>
      </c>
      <c r="AB36">
        <v>13850</v>
      </c>
      <c r="AC36">
        <v>614.90310469309998</v>
      </c>
      <c r="AD36">
        <v>6532</v>
      </c>
      <c r="AE36">
        <v>525.90783833440003</v>
      </c>
      <c r="AF36">
        <v>3484</v>
      </c>
      <c r="AG36">
        <v>180.2695177956</v>
      </c>
      <c r="AH36">
        <v>74</v>
      </c>
      <c r="AI36">
        <v>544.86486486490003</v>
      </c>
      <c r="AL36" t="s">
        <v>390</v>
      </c>
      <c r="AM36">
        <v>1587</v>
      </c>
      <c r="AN36">
        <v>1319</v>
      </c>
      <c r="AO36">
        <v>273.03260045489998</v>
      </c>
      <c r="AP36">
        <v>243</v>
      </c>
      <c r="AQ36">
        <v>435.81069958849997</v>
      </c>
      <c r="AR36">
        <v>214</v>
      </c>
      <c r="AS36">
        <v>280.45327102800002</v>
      </c>
      <c r="AT36">
        <v>47</v>
      </c>
      <c r="AU36">
        <v>159.78723404260001</v>
      </c>
      <c r="AV36">
        <v>7</v>
      </c>
      <c r="AW36">
        <v>226.71428571429999</v>
      </c>
    </row>
    <row r="37" spans="6:49" x14ac:dyDescent="0.2">
      <c r="F37" t="s">
        <v>80</v>
      </c>
      <c r="G37">
        <v>27018</v>
      </c>
      <c r="H37">
        <v>23827</v>
      </c>
      <c r="I37">
        <v>450.4486926596</v>
      </c>
      <c r="J37">
        <v>1563</v>
      </c>
      <c r="K37">
        <v>776.60076775430002</v>
      </c>
      <c r="L37">
        <v>1519</v>
      </c>
      <c r="M37">
        <v>373.28571428570001</v>
      </c>
      <c r="N37">
        <v>1665</v>
      </c>
      <c r="O37">
        <v>330.00960960959998</v>
      </c>
      <c r="R37">
        <v>7</v>
      </c>
      <c r="S37">
        <v>531.57142857140002</v>
      </c>
      <c r="V37" t="s">
        <v>416</v>
      </c>
      <c r="W37">
        <v>573</v>
      </c>
      <c r="X37">
        <v>300</v>
      </c>
      <c r="Y37">
        <v>164.14333333330001</v>
      </c>
      <c r="Z37">
        <v>240</v>
      </c>
      <c r="AA37">
        <v>235.1875</v>
      </c>
      <c r="AB37">
        <v>89</v>
      </c>
      <c r="AC37">
        <v>181.51685393259999</v>
      </c>
      <c r="AD37">
        <v>107</v>
      </c>
      <c r="AE37">
        <v>223.60747663550001</v>
      </c>
      <c r="AF37">
        <v>66</v>
      </c>
      <c r="AG37">
        <v>181.84848484849999</v>
      </c>
      <c r="AH37">
        <v>11</v>
      </c>
      <c r="AI37">
        <v>278.54545454549998</v>
      </c>
      <c r="AL37" t="s">
        <v>416</v>
      </c>
      <c r="AM37">
        <v>22</v>
      </c>
      <c r="AN37">
        <v>17</v>
      </c>
      <c r="AO37">
        <v>122.9411764706</v>
      </c>
      <c r="AP37">
        <v>14</v>
      </c>
      <c r="AQ37">
        <v>220.28571428570001</v>
      </c>
      <c r="AR37">
        <v>5</v>
      </c>
      <c r="AS37">
        <v>54.8</v>
      </c>
    </row>
    <row r="38" spans="6:49" x14ac:dyDescent="0.2">
      <c r="F38" t="s">
        <v>390</v>
      </c>
      <c r="G38">
        <v>80385</v>
      </c>
      <c r="H38">
        <v>59717</v>
      </c>
      <c r="I38">
        <v>430.97828089149999</v>
      </c>
      <c r="J38">
        <v>4713</v>
      </c>
      <c r="K38">
        <v>694.90070019100006</v>
      </c>
      <c r="L38">
        <v>13964</v>
      </c>
      <c r="M38">
        <v>611.74419936979996</v>
      </c>
      <c r="N38">
        <v>6630</v>
      </c>
      <c r="O38">
        <v>525.48552036199999</v>
      </c>
      <c r="R38">
        <v>74</v>
      </c>
      <c r="S38">
        <v>544.86486486490003</v>
      </c>
      <c r="V38" t="s">
        <v>420</v>
      </c>
      <c r="W38">
        <v>38888</v>
      </c>
      <c r="X38">
        <v>26949</v>
      </c>
      <c r="Y38">
        <v>453.51434190510003</v>
      </c>
      <c r="Z38">
        <v>2038</v>
      </c>
      <c r="AA38">
        <v>675.6089303238</v>
      </c>
      <c r="AB38">
        <v>8177</v>
      </c>
      <c r="AC38">
        <v>758.02201296320004</v>
      </c>
      <c r="AD38">
        <v>2305</v>
      </c>
      <c r="AE38">
        <v>589.18481561819999</v>
      </c>
      <c r="AF38">
        <v>1396</v>
      </c>
      <c r="AG38">
        <v>202.5078796562</v>
      </c>
      <c r="AH38">
        <v>61</v>
      </c>
      <c r="AI38">
        <v>476.47540983610003</v>
      </c>
      <c r="AL38" t="s">
        <v>420</v>
      </c>
      <c r="AM38">
        <v>404</v>
      </c>
      <c r="AN38">
        <v>303</v>
      </c>
      <c r="AO38">
        <v>175.89768976900001</v>
      </c>
      <c r="AP38">
        <v>215</v>
      </c>
      <c r="AQ38">
        <v>330.08837209299998</v>
      </c>
      <c r="AR38">
        <v>88</v>
      </c>
      <c r="AS38">
        <v>273.36363636359999</v>
      </c>
      <c r="AT38">
        <v>11</v>
      </c>
      <c r="AU38">
        <v>61.818181818200003</v>
      </c>
      <c r="AV38">
        <v>2</v>
      </c>
      <c r="AW38">
        <v>1038.5</v>
      </c>
    </row>
    <row r="39" spans="6:49" x14ac:dyDescent="0.2">
      <c r="F39" t="s">
        <v>82</v>
      </c>
      <c r="G39">
        <v>18820</v>
      </c>
      <c r="H39">
        <v>13728</v>
      </c>
      <c r="I39">
        <v>402.758231352</v>
      </c>
      <c r="J39">
        <v>1058</v>
      </c>
      <c r="K39">
        <v>676.32136105860002</v>
      </c>
      <c r="L39">
        <v>3791</v>
      </c>
      <c r="M39">
        <v>833.36481139540001</v>
      </c>
      <c r="N39">
        <v>1262</v>
      </c>
      <c r="O39">
        <v>618.48811410459996</v>
      </c>
      <c r="R39">
        <v>39</v>
      </c>
      <c r="S39">
        <v>569.82051282049997</v>
      </c>
      <c r="V39" t="s">
        <v>428</v>
      </c>
      <c r="W39">
        <v>384</v>
      </c>
      <c r="X39">
        <v>193</v>
      </c>
      <c r="Y39">
        <v>195.69430051809999</v>
      </c>
      <c r="Z39">
        <v>88</v>
      </c>
      <c r="AA39">
        <v>344.0568181818</v>
      </c>
      <c r="AB39">
        <v>93</v>
      </c>
      <c r="AC39">
        <v>331.27956989249998</v>
      </c>
      <c r="AD39">
        <v>67</v>
      </c>
      <c r="AE39">
        <v>345.05970149249998</v>
      </c>
      <c r="AF39">
        <v>29</v>
      </c>
      <c r="AG39">
        <v>203.93103448279999</v>
      </c>
      <c r="AH39">
        <v>2</v>
      </c>
      <c r="AI39">
        <v>664.5</v>
      </c>
      <c r="AL39" t="s">
        <v>428</v>
      </c>
      <c r="AM39">
        <v>5</v>
      </c>
      <c r="AN39">
        <v>5</v>
      </c>
      <c r="AO39">
        <v>136</v>
      </c>
      <c r="AP39">
        <v>4</v>
      </c>
      <c r="AQ39">
        <v>191.75</v>
      </c>
    </row>
    <row r="40" spans="6:49" x14ac:dyDescent="0.2">
      <c r="F40" t="s">
        <v>43</v>
      </c>
      <c r="G40">
        <v>5483</v>
      </c>
      <c r="H40">
        <v>2758</v>
      </c>
      <c r="I40">
        <v>231.22443799850001</v>
      </c>
      <c r="J40">
        <v>266</v>
      </c>
      <c r="K40">
        <v>518.31578947369997</v>
      </c>
      <c r="L40">
        <v>2378</v>
      </c>
      <c r="M40">
        <v>669.88603868799999</v>
      </c>
      <c r="N40">
        <v>339</v>
      </c>
      <c r="O40">
        <v>396.12684365780001</v>
      </c>
      <c r="R40">
        <v>8</v>
      </c>
      <c r="S40">
        <v>210.5</v>
      </c>
      <c r="V40" t="s">
        <v>431</v>
      </c>
      <c r="W40">
        <v>359</v>
      </c>
      <c r="X40">
        <v>248</v>
      </c>
      <c r="Y40">
        <v>276.81451612900003</v>
      </c>
      <c r="Z40">
        <v>32</v>
      </c>
      <c r="AA40">
        <v>484.84375</v>
      </c>
      <c r="AB40">
        <v>29</v>
      </c>
      <c r="AC40">
        <v>477.75862068970002</v>
      </c>
      <c r="AD40">
        <v>39</v>
      </c>
      <c r="AE40">
        <v>336.56410256409998</v>
      </c>
      <c r="AF40">
        <v>42</v>
      </c>
      <c r="AG40">
        <v>156.45238095240001</v>
      </c>
      <c r="AH40">
        <v>1</v>
      </c>
      <c r="AI40">
        <v>255</v>
      </c>
      <c r="AL40" t="s">
        <v>431</v>
      </c>
      <c r="AM40">
        <v>7</v>
      </c>
      <c r="AN40">
        <v>5</v>
      </c>
      <c r="AO40">
        <v>155.19999999999999</v>
      </c>
      <c r="AP40">
        <v>1</v>
      </c>
      <c r="AQ40">
        <v>288</v>
      </c>
      <c r="AR40">
        <v>2</v>
      </c>
      <c r="AS40">
        <v>172</v>
      </c>
    </row>
    <row r="41" spans="6:49" x14ac:dyDescent="0.2">
      <c r="F41" t="s">
        <v>49</v>
      </c>
      <c r="G41">
        <v>18864</v>
      </c>
      <c r="H41">
        <v>13423</v>
      </c>
      <c r="I41">
        <v>507.51337256950001</v>
      </c>
      <c r="J41">
        <v>965</v>
      </c>
      <c r="K41">
        <v>678.32227979269999</v>
      </c>
      <c r="L41">
        <v>4391</v>
      </c>
      <c r="M41">
        <v>697.35140059210005</v>
      </c>
      <c r="N41">
        <v>1027</v>
      </c>
      <c r="O41">
        <v>569.18597857839995</v>
      </c>
      <c r="R41">
        <v>23</v>
      </c>
      <c r="S41">
        <v>337.73913043480002</v>
      </c>
      <c r="V41" t="s">
        <v>421</v>
      </c>
      <c r="W41">
        <v>5198</v>
      </c>
      <c r="X41">
        <v>3903</v>
      </c>
      <c r="Y41">
        <v>479.22726108120003</v>
      </c>
      <c r="Z41">
        <v>168</v>
      </c>
      <c r="AA41">
        <v>903.24404761899996</v>
      </c>
      <c r="AB41">
        <v>554</v>
      </c>
      <c r="AC41">
        <v>319.2400722022</v>
      </c>
      <c r="AD41">
        <v>459</v>
      </c>
      <c r="AE41">
        <v>637.79956427019999</v>
      </c>
      <c r="AF41">
        <v>273</v>
      </c>
      <c r="AG41">
        <v>174.2417582418</v>
      </c>
      <c r="AH41">
        <v>9</v>
      </c>
      <c r="AI41">
        <v>818.7777777778</v>
      </c>
      <c r="AL41" t="s">
        <v>421</v>
      </c>
      <c r="AM41">
        <v>114</v>
      </c>
      <c r="AN41">
        <v>101</v>
      </c>
      <c r="AO41">
        <v>313.79207920789997</v>
      </c>
      <c r="AP41">
        <v>11</v>
      </c>
      <c r="AQ41">
        <v>711.81818181819995</v>
      </c>
      <c r="AR41">
        <v>13</v>
      </c>
      <c r="AS41">
        <v>304.61538461539999</v>
      </c>
    </row>
    <row r="42" spans="6:49" x14ac:dyDescent="0.2">
      <c r="F42" t="s">
        <v>52</v>
      </c>
      <c r="G42">
        <v>4278</v>
      </c>
      <c r="H42">
        <v>2628</v>
      </c>
      <c r="I42">
        <v>311.30251141550002</v>
      </c>
      <c r="J42">
        <v>257</v>
      </c>
      <c r="K42">
        <v>584.87548638129999</v>
      </c>
      <c r="L42">
        <v>1114</v>
      </c>
      <c r="M42">
        <v>403.5341113106</v>
      </c>
      <c r="N42">
        <v>529</v>
      </c>
      <c r="O42">
        <v>620.70699432890001</v>
      </c>
      <c r="R42">
        <v>7</v>
      </c>
      <c r="S42">
        <v>791.85714285710003</v>
      </c>
      <c r="V42" t="s">
        <v>413</v>
      </c>
      <c r="W42">
        <v>5693</v>
      </c>
      <c r="X42">
        <v>2775</v>
      </c>
      <c r="Y42">
        <v>239.64072072069999</v>
      </c>
      <c r="Z42">
        <v>259</v>
      </c>
      <c r="AA42">
        <v>528.30501930499997</v>
      </c>
      <c r="AB42">
        <v>2294</v>
      </c>
      <c r="AC42">
        <v>664.21229293809995</v>
      </c>
      <c r="AD42">
        <v>341</v>
      </c>
      <c r="AE42">
        <v>416.14076246330001</v>
      </c>
      <c r="AF42">
        <v>275</v>
      </c>
      <c r="AG42">
        <v>173.6436363636</v>
      </c>
      <c r="AH42">
        <v>8</v>
      </c>
      <c r="AI42">
        <v>210.5</v>
      </c>
      <c r="AL42" t="s">
        <v>413</v>
      </c>
      <c r="AM42">
        <v>46</v>
      </c>
      <c r="AN42">
        <v>33</v>
      </c>
      <c r="AO42">
        <v>105.75757575759999</v>
      </c>
      <c r="AP42">
        <v>17</v>
      </c>
      <c r="AQ42">
        <v>263.8823529412</v>
      </c>
      <c r="AR42">
        <v>9</v>
      </c>
      <c r="AS42">
        <v>269.1111111111</v>
      </c>
      <c r="AT42">
        <v>4</v>
      </c>
      <c r="AU42">
        <v>144.25</v>
      </c>
    </row>
    <row r="43" spans="6:49" x14ac:dyDescent="0.2">
      <c r="F43" t="s">
        <v>39</v>
      </c>
      <c r="G43">
        <v>317</v>
      </c>
      <c r="H43">
        <v>254</v>
      </c>
      <c r="I43">
        <v>274.73622047240002</v>
      </c>
      <c r="J43">
        <v>30</v>
      </c>
      <c r="K43">
        <v>456.63333333330002</v>
      </c>
      <c r="L43">
        <v>22</v>
      </c>
      <c r="M43">
        <v>449.40909090909997</v>
      </c>
      <c r="N43">
        <v>41</v>
      </c>
      <c r="O43">
        <v>326.26829268289998</v>
      </c>
      <c r="V43" t="s">
        <v>422</v>
      </c>
      <c r="W43">
        <v>4178</v>
      </c>
      <c r="X43">
        <v>2133</v>
      </c>
      <c r="Y43">
        <v>191.9737458978</v>
      </c>
      <c r="Z43">
        <v>626</v>
      </c>
      <c r="AA43">
        <v>307.96645367410002</v>
      </c>
      <c r="AB43">
        <v>1089</v>
      </c>
      <c r="AC43">
        <v>299.06887052339999</v>
      </c>
      <c r="AD43">
        <v>547</v>
      </c>
      <c r="AE43">
        <v>264.92870201099998</v>
      </c>
      <c r="AF43">
        <v>394</v>
      </c>
      <c r="AG43">
        <v>173.32233502540001</v>
      </c>
      <c r="AH43">
        <v>15</v>
      </c>
      <c r="AI43">
        <v>258.13333333330002</v>
      </c>
      <c r="AL43" t="s">
        <v>422</v>
      </c>
      <c r="AM43">
        <v>82</v>
      </c>
      <c r="AN43">
        <v>62</v>
      </c>
      <c r="AO43">
        <v>158.5161290323</v>
      </c>
      <c r="AP43">
        <v>45</v>
      </c>
      <c r="AQ43">
        <v>232.31111111109999</v>
      </c>
      <c r="AR43">
        <v>18</v>
      </c>
      <c r="AS43">
        <v>113.3888888889</v>
      </c>
      <c r="AT43">
        <v>2</v>
      </c>
      <c r="AU43">
        <v>124.5</v>
      </c>
    </row>
    <row r="44" spans="6:49" x14ac:dyDescent="0.2">
      <c r="F44" t="s">
        <v>27</v>
      </c>
      <c r="G44">
        <v>3731</v>
      </c>
      <c r="H44">
        <v>2060</v>
      </c>
      <c r="I44">
        <v>179.1660194175</v>
      </c>
      <c r="J44">
        <v>614</v>
      </c>
      <c r="K44">
        <v>290.20358306190002</v>
      </c>
      <c r="L44">
        <v>1095</v>
      </c>
      <c r="M44">
        <v>295.67853881280001</v>
      </c>
      <c r="N44">
        <v>559</v>
      </c>
      <c r="O44">
        <v>254.45974955279999</v>
      </c>
      <c r="R44">
        <v>17</v>
      </c>
      <c r="S44">
        <v>317.8235294118</v>
      </c>
      <c r="V44" t="s">
        <v>397</v>
      </c>
      <c r="W44">
        <v>5920</v>
      </c>
      <c r="X44">
        <v>4656</v>
      </c>
      <c r="Y44">
        <v>430.30734536080001</v>
      </c>
      <c r="Z44">
        <v>307</v>
      </c>
      <c r="AA44">
        <v>788.82736156349995</v>
      </c>
      <c r="AB44">
        <v>621</v>
      </c>
      <c r="AC44">
        <v>481.34782608699999</v>
      </c>
      <c r="AD44">
        <v>354</v>
      </c>
      <c r="AE44">
        <v>426.59039548020002</v>
      </c>
      <c r="AF44">
        <v>275</v>
      </c>
      <c r="AG44">
        <v>157.6036363636</v>
      </c>
      <c r="AH44">
        <v>14</v>
      </c>
      <c r="AI44">
        <v>489.42857142859998</v>
      </c>
      <c r="AL44" t="s">
        <v>397</v>
      </c>
      <c r="AM44">
        <v>168</v>
      </c>
      <c r="AN44">
        <v>150</v>
      </c>
      <c r="AO44">
        <v>377.41333333329999</v>
      </c>
      <c r="AP44">
        <v>30</v>
      </c>
      <c r="AQ44">
        <v>658.3</v>
      </c>
      <c r="AR44">
        <v>18</v>
      </c>
      <c r="AS44">
        <v>235.8333333333</v>
      </c>
    </row>
    <row r="45" spans="6:49" x14ac:dyDescent="0.2">
      <c r="F45" t="s">
        <v>54</v>
      </c>
      <c r="G45">
        <v>5046</v>
      </c>
      <c r="H45">
        <v>4017</v>
      </c>
      <c r="I45">
        <v>478.77072442119999</v>
      </c>
      <c r="J45">
        <v>167</v>
      </c>
      <c r="K45">
        <v>919.69461077840003</v>
      </c>
      <c r="L45">
        <v>551</v>
      </c>
      <c r="M45">
        <v>310.47186932850002</v>
      </c>
      <c r="N45">
        <v>470</v>
      </c>
      <c r="O45">
        <v>650.26382978720005</v>
      </c>
      <c r="R45">
        <v>8</v>
      </c>
      <c r="S45">
        <v>754.75</v>
      </c>
      <c r="V45" t="s">
        <v>399</v>
      </c>
      <c r="W45">
        <v>4555</v>
      </c>
      <c r="X45">
        <v>2691</v>
      </c>
      <c r="Y45">
        <v>316.97733184689997</v>
      </c>
      <c r="Z45">
        <v>262</v>
      </c>
      <c r="AA45">
        <v>593.42748091600004</v>
      </c>
      <c r="AB45">
        <v>1119</v>
      </c>
      <c r="AC45">
        <v>414.36639857019998</v>
      </c>
      <c r="AD45">
        <v>533</v>
      </c>
      <c r="AE45">
        <v>623.82926829270002</v>
      </c>
      <c r="AF45">
        <v>205</v>
      </c>
      <c r="AG45">
        <v>190.9268292683</v>
      </c>
      <c r="AH45">
        <v>7</v>
      </c>
      <c r="AI45">
        <v>791.85714285710003</v>
      </c>
      <c r="AL45" t="s">
        <v>399</v>
      </c>
      <c r="AM45">
        <v>116</v>
      </c>
      <c r="AN45">
        <v>98</v>
      </c>
      <c r="AO45">
        <v>273.20408163270002</v>
      </c>
      <c r="AP45">
        <v>17</v>
      </c>
      <c r="AQ45">
        <v>434.4705882353</v>
      </c>
      <c r="AR45">
        <v>18</v>
      </c>
      <c r="AS45">
        <v>321.6111111111</v>
      </c>
    </row>
    <row r="46" spans="6:49" x14ac:dyDescent="0.2">
      <c r="F46" t="s">
        <v>62</v>
      </c>
      <c r="G46">
        <v>5679</v>
      </c>
      <c r="H46">
        <v>4695</v>
      </c>
      <c r="I46">
        <v>431.21171458999999</v>
      </c>
      <c r="J46">
        <v>313</v>
      </c>
      <c r="K46">
        <v>799.0415335463</v>
      </c>
      <c r="L46">
        <v>613</v>
      </c>
      <c r="M46">
        <v>462.08809135400003</v>
      </c>
      <c r="N46">
        <v>359</v>
      </c>
      <c r="O46">
        <v>431.38718662949998</v>
      </c>
      <c r="R46">
        <v>12</v>
      </c>
      <c r="S46">
        <v>403.8333333333</v>
      </c>
      <c r="V46" t="s">
        <v>395</v>
      </c>
      <c r="W46">
        <v>65748</v>
      </c>
      <c r="X46">
        <v>43848</v>
      </c>
      <c r="Y46">
        <v>414.58730158729998</v>
      </c>
      <c r="Z46">
        <v>4020</v>
      </c>
      <c r="AA46">
        <v>586.60174129350003</v>
      </c>
      <c r="AB46">
        <v>14065</v>
      </c>
      <c r="AC46">
        <v>643.29939566300004</v>
      </c>
      <c r="AD46">
        <v>4752</v>
      </c>
      <c r="AE46">
        <v>522.16456228959998</v>
      </c>
      <c r="AF46">
        <v>2955</v>
      </c>
      <c r="AG46">
        <v>187.23451776650001</v>
      </c>
      <c r="AH46">
        <v>128</v>
      </c>
      <c r="AI46">
        <v>461.1953125</v>
      </c>
      <c r="AL46" t="s">
        <v>395</v>
      </c>
      <c r="AM46">
        <v>964</v>
      </c>
      <c r="AN46">
        <v>774</v>
      </c>
      <c r="AO46">
        <v>239.32816537470001</v>
      </c>
      <c r="AP46">
        <v>354</v>
      </c>
      <c r="AQ46">
        <v>353.14406779659998</v>
      </c>
      <c r="AR46">
        <v>171</v>
      </c>
      <c r="AS46">
        <v>252.22807017540001</v>
      </c>
      <c r="AT46">
        <v>17</v>
      </c>
      <c r="AU46">
        <v>88.588235294100002</v>
      </c>
      <c r="AV46">
        <v>2</v>
      </c>
      <c r="AW46">
        <v>1038.5</v>
      </c>
    </row>
    <row r="47" spans="6:49" x14ac:dyDescent="0.2">
      <c r="F47" t="s">
        <v>187</v>
      </c>
      <c r="G47">
        <v>322</v>
      </c>
      <c r="H47">
        <v>166</v>
      </c>
      <c r="I47">
        <v>158.7168674699</v>
      </c>
      <c r="J47">
        <v>84</v>
      </c>
      <c r="K47">
        <v>301.79761904759999</v>
      </c>
      <c r="L47">
        <v>91</v>
      </c>
      <c r="M47">
        <v>364.75824175819997</v>
      </c>
      <c r="N47">
        <v>64</v>
      </c>
      <c r="O47">
        <v>326.734375</v>
      </c>
      <c r="R47">
        <v>1</v>
      </c>
      <c r="S47">
        <v>590</v>
      </c>
      <c r="V47" t="s">
        <v>426</v>
      </c>
      <c r="W47">
        <v>439</v>
      </c>
      <c r="X47">
        <v>276</v>
      </c>
      <c r="Y47">
        <v>297.50362318840001</v>
      </c>
      <c r="Z47">
        <v>35</v>
      </c>
      <c r="AA47">
        <v>363.14285714290003</v>
      </c>
      <c r="AB47">
        <v>74</v>
      </c>
      <c r="AC47">
        <v>410.33783783780001</v>
      </c>
      <c r="AD47">
        <v>59</v>
      </c>
      <c r="AE47">
        <v>327.79661016950001</v>
      </c>
      <c r="AF47">
        <v>30</v>
      </c>
      <c r="AG47">
        <v>246.7</v>
      </c>
      <c r="AL47" t="s">
        <v>426</v>
      </c>
      <c r="AM47">
        <v>23</v>
      </c>
      <c r="AN47">
        <v>21</v>
      </c>
      <c r="AO47">
        <v>193.19047619049999</v>
      </c>
      <c r="AP47">
        <v>8</v>
      </c>
      <c r="AQ47">
        <v>264.5</v>
      </c>
      <c r="AR47">
        <v>1</v>
      </c>
      <c r="AS47">
        <v>17</v>
      </c>
      <c r="AT47">
        <v>1</v>
      </c>
      <c r="AU47">
        <v>192</v>
      </c>
    </row>
    <row r="48" spans="6:49" x14ac:dyDescent="0.2">
      <c r="F48" t="s">
        <v>73</v>
      </c>
      <c r="G48">
        <v>459</v>
      </c>
      <c r="H48">
        <v>267</v>
      </c>
      <c r="I48">
        <v>108.4007490637</v>
      </c>
      <c r="J48">
        <v>236</v>
      </c>
      <c r="K48">
        <v>211.23728813560001</v>
      </c>
      <c r="L48">
        <v>79</v>
      </c>
      <c r="M48">
        <v>143.64556962029999</v>
      </c>
      <c r="N48">
        <v>102</v>
      </c>
      <c r="O48">
        <v>168.9411764706</v>
      </c>
      <c r="R48">
        <v>11</v>
      </c>
      <c r="S48">
        <v>278.54545454549998</v>
      </c>
      <c r="V48" t="s">
        <v>427</v>
      </c>
      <c r="W48">
        <v>173</v>
      </c>
      <c r="X48">
        <v>100</v>
      </c>
      <c r="Y48">
        <v>216.12</v>
      </c>
      <c r="Z48">
        <v>11</v>
      </c>
      <c r="AA48">
        <v>520.27272727269997</v>
      </c>
      <c r="AB48">
        <v>24</v>
      </c>
      <c r="AC48">
        <v>375.9166666667</v>
      </c>
      <c r="AD48">
        <v>27</v>
      </c>
      <c r="AE48">
        <v>393.44444444440001</v>
      </c>
      <c r="AF48">
        <v>21</v>
      </c>
      <c r="AG48">
        <v>145.61904761900001</v>
      </c>
      <c r="AH48">
        <v>1</v>
      </c>
      <c r="AI48">
        <v>101</v>
      </c>
      <c r="AL48" t="s">
        <v>427</v>
      </c>
      <c r="AM48">
        <v>6</v>
      </c>
      <c r="AN48">
        <v>5</v>
      </c>
      <c r="AO48">
        <v>189.8</v>
      </c>
      <c r="AT48">
        <v>1</v>
      </c>
      <c r="AU48">
        <v>380</v>
      </c>
    </row>
    <row r="49" spans="6:51" x14ac:dyDescent="0.2">
      <c r="F49" t="s">
        <v>395</v>
      </c>
      <c r="G49">
        <v>62999</v>
      </c>
      <c r="H49">
        <v>43996</v>
      </c>
      <c r="I49">
        <v>414.56389217200001</v>
      </c>
      <c r="J49">
        <v>3990</v>
      </c>
      <c r="K49">
        <v>583.73182957389997</v>
      </c>
      <c r="L49">
        <v>14125</v>
      </c>
      <c r="M49">
        <v>643.9934867257</v>
      </c>
      <c r="N49">
        <v>4752</v>
      </c>
      <c r="O49">
        <v>522.30260942760003</v>
      </c>
      <c r="R49">
        <v>126</v>
      </c>
      <c r="S49">
        <v>453.64285714290003</v>
      </c>
      <c r="V49" t="s">
        <v>433</v>
      </c>
      <c r="W49">
        <v>477</v>
      </c>
      <c r="X49">
        <v>287</v>
      </c>
      <c r="Y49">
        <v>393.43902439020002</v>
      </c>
      <c r="Z49">
        <v>57</v>
      </c>
      <c r="AA49">
        <v>552.5438596491</v>
      </c>
      <c r="AB49">
        <v>115</v>
      </c>
      <c r="AC49">
        <v>457.36521739130001</v>
      </c>
      <c r="AD49">
        <v>55</v>
      </c>
      <c r="AE49">
        <v>620.25454545449998</v>
      </c>
      <c r="AF49">
        <v>19</v>
      </c>
      <c r="AG49">
        <v>130.2105263158</v>
      </c>
      <c r="AH49">
        <v>1</v>
      </c>
      <c r="AI49">
        <v>194</v>
      </c>
      <c r="AL49" t="s">
        <v>433</v>
      </c>
      <c r="AM49">
        <v>19</v>
      </c>
      <c r="AN49">
        <v>13</v>
      </c>
      <c r="AO49">
        <v>374.38461538460001</v>
      </c>
      <c r="AP49">
        <v>5</v>
      </c>
      <c r="AQ49">
        <v>275.2</v>
      </c>
      <c r="AR49">
        <v>3</v>
      </c>
      <c r="AS49">
        <v>2118.3333333332998</v>
      </c>
      <c r="AT49">
        <v>3</v>
      </c>
      <c r="AU49">
        <v>306.6666666667</v>
      </c>
    </row>
    <row r="50" spans="6:51" x14ac:dyDescent="0.2">
      <c r="F50" t="s">
        <v>220</v>
      </c>
      <c r="G50">
        <v>1429</v>
      </c>
      <c r="H50">
        <v>1060</v>
      </c>
      <c r="I50">
        <v>151.1783018868</v>
      </c>
      <c r="J50">
        <v>707</v>
      </c>
      <c r="K50">
        <v>288.42715700140002</v>
      </c>
      <c r="L50">
        <v>322</v>
      </c>
      <c r="M50">
        <v>236.0248447205</v>
      </c>
      <c r="N50">
        <v>47</v>
      </c>
      <c r="O50">
        <v>98.425531914900006</v>
      </c>
      <c r="V50" t="s">
        <v>386</v>
      </c>
      <c r="W50">
        <v>5218</v>
      </c>
      <c r="X50">
        <v>3907</v>
      </c>
      <c r="Y50">
        <v>560.44663424620001</v>
      </c>
      <c r="Z50">
        <v>240</v>
      </c>
      <c r="AA50">
        <v>959.82083333330002</v>
      </c>
      <c r="AB50">
        <v>994</v>
      </c>
      <c r="AC50">
        <v>848.45674044270004</v>
      </c>
      <c r="AD50">
        <v>225</v>
      </c>
      <c r="AE50">
        <v>598.61333333330003</v>
      </c>
      <c r="AF50">
        <v>88</v>
      </c>
      <c r="AG50">
        <v>195.1931818182</v>
      </c>
      <c r="AH50">
        <v>4</v>
      </c>
      <c r="AI50">
        <v>439.5</v>
      </c>
      <c r="AL50" t="s">
        <v>386</v>
      </c>
      <c r="AM50">
        <v>80</v>
      </c>
      <c r="AN50">
        <v>62</v>
      </c>
      <c r="AO50">
        <v>230.45161290319999</v>
      </c>
      <c r="AP50">
        <v>22</v>
      </c>
      <c r="AQ50">
        <v>511</v>
      </c>
      <c r="AR50">
        <v>15</v>
      </c>
      <c r="AS50">
        <v>281</v>
      </c>
      <c r="AT50">
        <v>3</v>
      </c>
      <c r="AU50">
        <v>216.3333333333</v>
      </c>
    </row>
    <row r="51" spans="6:51" x14ac:dyDescent="0.2">
      <c r="F51" t="s">
        <v>217</v>
      </c>
      <c r="G51">
        <v>2063</v>
      </c>
      <c r="H51">
        <v>1758</v>
      </c>
      <c r="I51">
        <v>323.7673492605</v>
      </c>
      <c r="J51">
        <v>266</v>
      </c>
      <c r="K51">
        <v>652.7067669173</v>
      </c>
      <c r="L51">
        <v>282</v>
      </c>
      <c r="M51">
        <v>362.96453900709997</v>
      </c>
      <c r="N51">
        <v>23</v>
      </c>
      <c r="O51">
        <v>96.086956521700003</v>
      </c>
      <c r="V51" t="s">
        <v>63</v>
      </c>
      <c r="W51">
        <v>5396</v>
      </c>
      <c r="X51">
        <v>3548</v>
      </c>
      <c r="Y51">
        <v>304.9075535513</v>
      </c>
      <c r="Z51">
        <v>757</v>
      </c>
      <c r="AA51">
        <v>494.43989431969999</v>
      </c>
      <c r="AB51">
        <v>913</v>
      </c>
      <c r="AC51">
        <v>376.69441401969999</v>
      </c>
      <c r="AD51">
        <v>604</v>
      </c>
      <c r="AE51">
        <v>591.30629139070004</v>
      </c>
      <c r="AF51">
        <v>299</v>
      </c>
      <c r="AG51">
        <v>187.86287625419999</v>
      </c>
      <c r="AH51">
        <v>32</v>
      </c>
      <c r="AI51">
        <v>539.625</v>
      </c>
      <c r="AL51" t="s">
        <v>63</v>
      </c>
      <c r="AM51">
        <v>260</v>
      </c>
      <c r="AN51">
        <v>213</v>
      </c>
      <c r="AO51">
        <v>248.99530516429999</v>
      </c>
      <c r="AP51">
        <v>48</v>
      </c>
      <c r="AQ51">
        <v>320.3125</v>
      </c>
      <c r="AR51">
        <v>41</v>
      </c>
      <c r="AS51">
        <v>204.19512195120001</v>
      </c>
      <c r="AT51">
        <v>4</v>
      </c>
      <c r="AU51">
        <v>132.25</v>
      </c>
      <c r="AV51">
        <v>1</v>
      </c>
      <c r="AW51">
        <v>1594</v>
      </c>
      <c r="AX51">
        <v>1</v>
      </c>
      <c r="AY51">
        <v>824</v>
      </c>
    </row>
    <row r="52" spans="6:51" x14ac:dyDescent="0.2">
      <c r="F52" t="s">
        <v>218</v>
      </c>
      <c r="G52">
        <v>2567</v>
      </c>
      <c r="H52">
        <v>2144</v>
      </c>
      <c r="I52">
        <v>242.60541044780001</v>
      </c>
      <c r="J52">
        <v>477</v>
      </c>
      <c r="K52">
        <v>365.9517819706</v>
      </c>
      <c r="L52">
        <v>327</v>
      </c>
      <c r="M52">
        <v>223.880733945</v>
      </c>
      <c r="N52">
        <v>95</v>
      </c>
      <c r="O52">
        <v>164.68421052630001</v>
      </c>
      <c r="R52">
        <v>1</v>
      </c>
      <c r="S52">
        <v>824</v>
      </c>
      <c r="V52" t="s">
        <v>388</v>
      </c>
      <c r="W52">
        <v>13169</v>
      </c>
      <c r="X52">
        <v>8265</v>
      </c>
      <c r="Y52">
        <v>350.52595281309999</v>
      </c>
      <c r="Z52">
        <v>584</v>
      </c>
      <c r="AA52">
        <v>737.90924657530002</v>
      </c>
      <c r="AB52">
        <v>3876</v>
      </c>
      <c r="AC52">
        <v>774.92079463360005</v>
      </c>
      <c r="AD52">
        <v>691</v>
      </c>
      <c r="AE52">
        <v>514.03183791610002</v>
      </c>
      <c r="AF52">
        <v>336</v>
      </c>
      <c r="AG52">
        <v>167.1666666667</v>
      </c>
      <c r="AH52">
        <v>1</v>
      </c>
      <c r="AI52">
        <v>281</v>
      </c>
      <c r="AL52" t="s">
        <v>388</v>
      </c>
      <c r="AM52">
        <v>152</v>
      </c>
      <c r="AN52">
        <v>123</v>
      </c>
      <c r="AO52">
        <v>245.4715447154</v>
      </c>
      <c r="AP52">
        <v>33</v>
      </c>
      <c r="AQ52">
        <v>236.78787878790001</v>
      </c>
      <c r="AR52">
        <v>21</v>
      </c>
      <c r="AS52">
        <v>282.14285714290003</v>
      </c>
      <c r="AT52">
        <v>7</v>
      </c>
      <c r="AU52">
        <v>151.42857142860001</v>
      </c>
      <c r="AV52">
        <v>1</v>
      </c>
      <c r="AW52">
        <v>165</v>
      </c>
    </row>
    <row r="53" spans="6:51" x14ac:dyDescent="0.2">
      <c r="F53" t="s">
        <v>472</v>
      </c>
      <c r="G53">
        <v>6059</v>
      </c>
      <c r="H53">
        <v>4962</v>
      </c>
      <c r="I53">
        <v>251.82950423220001</v>
      </c>
      <c r="J53">
        <v>1450</v>
      </c>
      <c r="K53">
        <v>380.75655172410001</v>
      </c>
      <c r="L53">
        <v>931</v>
      </c>
      <c r="M53">
        <v>270.20945220189998</v>
      </c>
      <c r="N53">
        <v>165</v>
      </c>
      <c r="O53">
        <v>136.2484848485</v>
      </c>
      <c r="R53">
        <v>1</v>
      </c>
      <c r="S53">
        <v>824</v>
      </c>
      <c r="V53" t="s">
        <v>384</v>
      </c>
      <c r="W53">
        <v>4033</v>
      </c>
      <c r="X53">
        <v>2762</v>
      </c>
      <c r="Y53">
        <v>341.3653149891</v>
      </c>
      <c r="Z53">
        <v>336</v>
      </c>
      <c r="AA53">
        <v>497.6041666667</v>
      </c>
      <c r="AB53">
        <v>562</v>
      </c>
      <c r="AC53">
        <v>339.5836298932</v>
      </c>
      <c r="AD53">
        <v>484</v>
      </c>
      <c r="AE53">
        <v>420.01652892560003</v>
      </c>
      <c r="AF53">
        <v>219</v>
      </c>
      <c r="AG53">
        <v>178.88584474890001</v>
      </c>
      <c r="AH53">
        <v>6</v>
      </c>
      <c r="AI53">
        <v>307</v>
      </c>
      <c r="AL53" t="s">
        <v>384</v>
      </c>
      <c r="AM53">
        <v>172</v>
      </c>
      <c r="AN53">
        <v>136</v>
      </c>
      <c r="AO53">
        <v>208.61029411760001</v>
      </c>
      <c r="AP53">
        <v>29</v>
      </c>
      <c r="AQ53">
        <v>286.89655172409999</v>
      </c>
      <c r="AR53">
        <v>26</v>
      </c>
      <c r="AS53">
        <v>148</v>
      </c>
      <c r="AT53">
        <v>8</v>
      </c>
      <c r="AU53">
        <v>196.25</v>
      </c>
      <c r="AV53">
        <v>2</v>
      </c>
      <c r="AW53">
        <v>930.5</v>
      </c>
    </row>
    <row r="54" spans="6:51" x14ac:dyDescent="0.2">
      <c r="F54" t="s">
        <v>81</v>
      </c>
      <c r="G54">
        <v>349</v>
      </c>
      <c r="H54">
        <v>241</v>
      </c>
      <c r="I54">
        <v>264.82987551870002</v>
      </c>
      <c r="J54">
        <v>36</v>
      </c>
      <c r="K54">
        <v>378.5277777778</v>
      </c>
      <c r="L54">
        <v>55</v>
      </c>
      <c r="M54">
        <v>291.63636363640001</v>
      </c>
      <c r="N54">
        <v>53</v>
      </c>
      <c r="O54">
        <v>265.54716981130002</v>
      </c>
      <c r="V54" t="s">
        <v>383</v>
      </c>
      <c r="W54">
        <v>1066</v>
      </c>
      <c r="X54">
        <v>557</v>
      </c>
      <c r="Y54">
        <v>217.7935368043</v>
      </c>
      <c r="Z54">
        <v>190</v>
      </c>
      <c r="AA54">
        <v>301.96842105259998</v>
      </c>
      <c r="AB54">
        <v>234</v>
      </c>
      <c r="AC54">
        <v>227.46581196579999</v>
      </c>
      <c r="AD54">
        <v>139</v>
      </c>
      <c r="AE54">
        <v>275.2949640288</v>
      </c>
      <c r="AF54">
        <v>134</v>
      </c>
      <c r="AG54">
        <v>172.06716417909999</v>
      </c>
      <c r="AH54">
        <v>2</v>
      </c>
      <c r="AI54">
        <v>93</v>
      </c>
      <c r="AL54" t="s">
        <v>383</v>
      </c>
      <c r="AM54">
        <v>55</v>
      </c>
      <c r="AN54">
        <v>50</v>
      </c>
      <c r="AO54">
        <v>189.32</v>
      </c>
      <c r="AP54">
        <v>5</v>
      </c>
      <c r="AQ54">
        <v>561.6</v>
      </c>
      <c r="AR54">
        <v>5</v>
      </c>
      <c r="AS54">
        <v>92.4</v>
      </c>
    </row>
    <row r="55" spans="6:51" x14ac:dyDescent="0.2">
      <c r="F55" t="s">
        <v>38</v>
      </c>
      <c r="G55">
        <v>3530</v>
      </c>
      <c r="H55">
        <v>2381</v>
      </c>
      <c r="I55">
        <v>522.38345233099994</v>
      </c>
      <c r="J55">
        <v>249</v>
      </c>
      <c r="K55">
        <v>720.97188755019999</v>
      </c>
      <c r="L55">
        <v>844</v>
      </c>
      <c r="M55">
        <v>761.30213270139996</v>
      </c>
      <c r="N55">
        <v>305</v>
      </c>
      <c r="O55">
        <v>702.86229508199995</v>
      </c>
      <c r="V55" t="s">
        <v>385</v>
      </c>
      <c r="W55">
        <v>6266</v>
      </c>
      <c r="X55">
        <v>4094</v>
      </c>
      <c r="Y55">
        <v>375.57938446510002</v>
      </c>
      <c r="Z55">
        <v>430</v>
      </c>
      <c r="AA55">
        <v>523.5720930233</v>
      </c>
      <c r="AB55">
        <v>959</v>
      </c>
      <c r="AC55">
        <v>529.37643378519999</v>
      </c>
      <c r="AD55">
        <v>861</v>
      </c>
      <c r="AE55">
        <v>645.23112659699996</v>
      </c>
      <c r="AF55">
        <v>343</v>
      </c>
      <c r="AG55">
        <v>187.4781341108</v>
      </c>
      <c r="AH55">
        <v>9</v>
      </c>
      <c r="AI55">
        <v>492.44444444440001</v>
      </c>
      <c r="AL55" t="s">
        <v>385</v>
      </c>
      <c r="AM55">
        <v>280</v>
      </c>
      <c r="AN55">
        <v>229</v>
      </c>
      <c r="AO55">
        <v>235.40174672489999</v>
      </c>
      <c r="AP55">
        <v>47</v>
      </c>
      <c r="AQ55">
        <v>333.36170212770003</v>
      </c>
      <c r="AR55">
        <v>38</v>
      </c>
      <c r="AS55">
        <v>244.13157894739999</v>
      </c>
      <c r="AT55">
        <v>11</v>
      </c>
      <c r="AU55">
        <v>138.36363636359999</v>
      </c>
      <c r="AV55">
        <v>2</v>
      </c>
      <c r="AW55">
        <v>225</v>
      </c>
    </row>
    <row r="56" spans="6:51" x14ac:dyDescent="0.2">
      <c r="F56" t="s">
        <v>64</v>
      </c>
      <c r="G56">
        <v>2693</v>
      </c>
      <c r="H56">
        <v>2107</v>
      </c>
      <c r="I56">
        <v>359.01186521120002</v>
      </c>
      <c r="J56">
        <v>183</v>
      </c>
      <c r="K56">
        <v>583.93989071040005</v>
      </c>
      <c r="L56">
        <v>253</v>
      </c>
      <c r="M56">
        <v>127.4703557312</v>
      </c>
      <c r="N56">
        <v>332</v>
      </c>
      <c r="O56">
        <v>341.0692771084</v>
      </c>
      <c r="R56">
        <v>1</v>
      </c>
      <c r="S56">
        <v>725</v>
      </c>
      <c r="V56" t="s">
        <v>382</v>
      </c>
      <c r="W56">
        <v>319</v>
      </c>
      <c r="X56">
        <v>146</v>
      </c>
      <c r="Y56">
        <v>147.60958904110001</v>
      </c>
      <c r="Z56">
        <v>93</v>
      </c>
      <c r="AA56">
        <v>230.39784946239999</v>
      </c>
      <c r="AB56">
        <v>75</v>
      </c>
      <c r="AC56">
        <v>173.18666666670001</v>
      </c>
      <c r="AD56">
        <v>43</v>
      </c>
      <c r="AE56">
        <v>183.6511627907</v>
      </c>
      <c r="AF56">
        <v>53</v>
      </c>
      <c r="AG56">
        <v>166.83018867920001</v>
      </c>
      <c r="AH56">
        <v>2</v>
      </c>
      <c r="AI56">
        <v>201.5</v>
      </c>
      <c r="AL56" t="s">
        <v>382</v>
      </c>
      <c r="AM56">
        <v>22</v>
      </c>
      <c r="AN56">
        <v>17</v>
      </c>
      <c r="AO56">
        <v>201.6470588235</v>
      </c>
      <c r="AP56">
        <v>1</v>
      </c>
      <c r="AQ56">
        <v>338</v>
      </c>
      <c r="AR56">
        <v>4</v>
      </c>
      <c r="AS56">
        <v>213.5</v>
      </c>
      <c r="AT56">
        <v>1</v>
      </c>
      <c r="AU56">
        <v>15</v>
      </c>
    </row>
    <row r="57" spans="6:51" x14ac:dyDescent="0.2">
      <c r="F57" t="s">
        <v>24</v>
      </c>
      <c r="G57">
        <v>1705</v>
      </c>
      <c r="H57">
        <v>1025</v>
      </c>
      <c r="I57">
        <v>240.77951219510001</v>
      </c>
      <c r="J57">
        <v>327</v>
      </c>
      <c r="K57">
        <v>265.73088685020002</v>
      </c>
      <c r="L57">
        <v>466</v>
      </c>
      <c r="M57">
        <v>356.28540772529999</v>
      </c>
      <c r="N57">
        <v>206</v>
      </c>
      <c r="O57">
        <v>519.87378640780003</v>
      </c>
      <c r="R57">
        <v>8</v>
      </c>
      <c r="S57">
        <v>366</v>
      </c>
      <c r="V57" t="s">
        <v>381</v>
      </c>
      <c r="W57">
        <v>3583</v>
      </c>
      <c r="X57">
        <v>2234</v>
      </c>
      <c r="Y57">
        <v>519.18934646369996</v>
      </c>
      <c r="Z57">
        <v>335</v>
      </c>
      <c r="AA57">
        <v>575.78805970149995</v>
      </c>
      <c r="AB57">
        <v>880</v>
      </c>
      <c r="AC57">
        <v>686.09204545449995</v>
      </c>
      <c r="AD57">
        <v>339</v>
      </c>
      <c r="AE57">
        <v>644.08554572269998</v>
      </c>
      <c r="AF57">
        <v>130</v>
      </c>
      <c r="AG57">
        <v>217.73846153849999</v>
      </c>
      <c r="AL57" t="s">
        <v>381</v>
      </c>
      <c r="AM57">
        <v>116</v>
      </c>
      <c r="AN57">
        <v>96</v>
      </c>
      <c r="AO57">
        <v>287.90625</v>
      </c>
      <c r="AP57">
        <v>22</v>
      </c>
      <c r="AQ57">
        <v>404.86363636359999</v>
      </c>
      <c r="AR57">
        <v>14</v>
      </c>
      <c r="AS57">
        <v>271.85714285709997</v>
      </c>
      <c r="AT57">
        <v>6</v>
      </c>
      <c r="AU57">
        <v>132.3333333333</v>
      </c>
    </row>
    <row r="58" spans="6:51" x14ac:dyDescent="0.2">
      <c r="F58" t="s">
        <v>72</v>
      </c>
      <c r="G58">
        <v>13203</v>
      </c>
      <c r="H58">
        <v>8391</v>
      </c>
      <c r="I58">
        <v>343.23513288049998</v>
      </c>
      <c r="J58">
        <v>577</v>
      </c>
      <c r="K58">
        <v>758.27383015600003</v>
      </c>
      <c r="L58">
        <v>4125</v>
      </c>
      <c r="M58">
        <v>780.49551515149994</v>
      </c>
      <c r="N58">
        <v>686</v>
      </c>
      <c r="O58">
        <v>515.4081632653</v>
      </c>
      <c r="R58">
        <v>1</v>
      </c>
      <c r="S58">
        <v>281</v>
      </c>
      <c r="V58" t="s">
        <v>425</v>
      </c>
      <c r="W58">
        <v>773</v>
      </c>
      <c r="X58">
        <v>622</v>
      </c>
      <c r="Y58">
        <v>392.5466237942</v>
      </c>
      <c r="Z58">
        <v>77</v>
      </c>
      <c r="AA58">
        <v>817.8831168831</v>
      </c>
      <c r="AB58">
        <v>44</v>
      </c>
      <c r="AC58">
        <v>480.1818181818</v>
      </c>
      <c r="AD58">
        <v>57</v>
      </c>
      <c r="AE58">
        <v>318.63157894739999</v>
      </c>
      <c r="AF58">
        <v>50</v>
      </c>
      <c r="AG58">
        <v>268.39999999999998</v>
      </c>
      <c r="AL58" t="s">
        <v>425</v>
      </c>
      <c r="AM58">
        <v>24</v>
      </c>
      <c r="AN58">
        <v>21</v>
      </c>
      <c r="AO58">
        <v>242.1428571429</v>
      </c>
      <c r="AP58">
        <v>3</v>
      </c>
      <c r="AQ58">
        <v>198.6666666667</v>
      </c>
      <c r="AR58">
        <v>2</v>
      </c>
      <c r="AS58">
        <v>181.5</v>
      </c>
      <c r="AT58">
        <v>1</v>
      </c>
      <c r="AU58">
        <v>11</v>
      </c>
    </row>
    <row r="59" spans="6:51" x14ac:dyDescent="0.2">
      <c r="F59" t="s">
        <v>47</v>
      </c>
      <c r="G59">
        <v>866</v>
      </c>
      <c r="H59">
        <v>516</v>
      </c>
      <c r="I59">
        <v>197.2034883721</v>
      </c>
      <c r="J59">
        <v>184</v>
      </c>
      <c r="K59">
        <v>302.33152173910003</v>
      </c>
      <c r="L59">
        <v>222</v>
      </c>
      <c r="M59">
        <v>205.0495495495</v>
      </c>
      <c r="N59">
        <v>126</v>
      </c>
      <c r="O59">
        <v>236.45238095240001</v>
      </c>
      <c r="R59">
        <v>2</v>
      </c>
      <c r="S59">
        <v>93</v>
      </c>
      <c r="V59" t="s">
        <v>389</v>
      </c>
      <c r="W59">
        <v>2274</v>
      </c>
      <c r="X59">
        <v>1451</v>
      </c>
      <c r="Y59">
        <v>394.31426602340002</v>
      </c>
      <c r="Z59">
        <v>538</v>
      </c>
      <c r="AA59">
        <v>451.50371747209999</v>
      </c>
      <c r="AB59">
        <v>182</v>
      </c>
      <c r="AC59">
        <v>269.8021978022</v>
      </c>
      <c r="AD59">
        <v>469</v>
      </c>
      <c r="AE59">
        <v>429.72494669510002</v>
      </c>
      <c r="AF59">
        <v>169</v>
      </c>
      <c r="AG59">
        <v>160.39644970410001</v>
      </c>
      <c r="AH59">
        <v>3</v>
      </c>
      <c r="AI59">
        <v>448.6666666667</v>
      </c>
      <c r="AL59" t="s">
        <v>389</v>
      </c>
      <c r="AM59">
        <v>43</v>
      </c>
      <c r="AN59">
        <v>32</v>
      </c>
      <c r="AO59">
        <v>183.1875</v>
      </c>
      <c r="AP59">
        <v>10</v>
      </c>
      <c r="AQ59">
        <v>294.10000000000002</v>
      </c>
      <c r="AR59">
        <v>8</v>
      </c>
      <c r="AS59">
        <v>122.875</v>
      </c>
      <c r="AT59">
        <v>3</v>
      </c>
      <c r="AU59">
        <v>55</v>
      </c>
    </row>
    <row r="60" spans="6:51" x14ac:dyDescent="0.2">
      <c r="F60" t="s">
        <v>63</v>
      </c>
      <c r="G60">
        <v>3361</v>
      </c>
      <c r="H60">
        <v>2485</v>
      </c>
      <c r="I60">
        <v>322.61247484910001</v>
      </c>
      <c r="J60">
        <v>425</v>
      </c>
      <c r="K60">
        <v>676.88</v>
      </c>
      <c r="L60">
        <v>428</v>
      </c>
      <c r="M60">
        <v>367.94158878500002</v>
      </c>
      <c r="N60">
        <v>424</v>
      </c>
      <c r="O60">
        <v>630.88207547169998</v>
      </c>
      <c r="R60">
        <v>24</v>
      </c>
      <c r="S60">
        <v>597.5</v>
      </c>
      <c r="V60" t="s">
        <v>392</v>
      </c>
      <c r="W60">
        <v>9904</v>
      </c>
      <c r="X60">
        <v>7035</v>
      </c>
      <c r="Y60">
        <v>271.69424307039998</v>
      </c>
      <c r="Z60">
        <v>938</v>
      </c>
      <c r="AA60">
        <v>505.18230277190003</v>
      </c>
      <c r="AB60">
        <v>1363</v>
      </c>
      <c r="AC60">
        <v>224.81438004399999</v>
      </c>
      <c r="AD60">
        <v>896</v>
      </c>
      <c r="AE60">
        <v>385.73995535709997</v>
      </c>
      <c r="AF60">
        <v>577</v>
      </c>
      <c r="AG60">
        <v>162.65164644710001</v>
      </c>
      <c r="AH60">
        <v>33</v>
      </c>
      <c r="AI60">
        <v>260.09090909090003</v>
      </c>
      <c r="AL60" t="s">
        <v>392</v>
      </c>
      <c r="AM60">
        <v>231</v>
      </c>
      <c r="AN60">
        <v>197</v>
      </c>
      <c r="AO60">
        <v>199.421319797</v>
      </c>
      <c r="AP60">
        <v>40</v>
      </c>
      <c r="AQ60">
        <v>304.89999999999998</v>
      </c>
      <c r="AR60">
        <v>21</v>
      </c>
      <c r="AS60">
        <v>206.5238095238</v>
      </c>
      <c r="AT60">
        <v>10</v>
      </c>
      <c r="AU60">
        <v>164</v>
      </c>
      <c r="AV60">
        <v>3</v>
      </c>
      <c r="AW60">
        <v>177</v>
      </c>
    </row>
    <row r="61" spans="6:51" x14ac:dyDescent="0.2">
      <c r="F61" t="s">
        <v>36</v>
      </c>
      <c r="G61">
        <v>5380</v>
      </c>
      <c r="H61">
        <v>4097</v>
      </c>
      <c r="I61">
        <v>576.23065657799998</v>
      </c>
      <c r="J61">
        <v>239</v>
      </c>
      <c r="K61">
        <v>1005.870292887</v>
      </c>
      <c r="L61">
        <v>1039</v>
      </c>
      <c r="M61">
        <v>860.63907603459995</v>
      </c>
      <c r="N61">
        <v>241</v>
      </c>
      <c r="O61">
        <v>635.52697095439999</v>
      </c>
      <c r="R61">
        <v>3</v>
      </c>
      <c r="S61">
        <v>536</v>
      </c>
      <c r="V61" t="s">
        <v>424</v>
      </c>
      <c r="W61">
        <v>520</v>
      </c>
      <c r="X61">
        <v>303</v>
      </c>
      <c r="Y61">
        <v>370.26072607259999</v>
      </c>
      <c r="Z61">
        <v>24</v>
      </c>
      <c r="AA61">
        <v>1038.4583333333001</v>
      </c>
      <c r="AB61">
        <v>170</v>
      </c>
      <c r="AC61">
        <v>858.27058823530001</v>
      </c>
      <c r="AD61">
        <v>30</v>
      </c>
      <c r="AE61">
        <v>539.73333333330004</v>
      </c>
      <c r="AF61">
        <v>17</v>
      </c>
      <c r="AG61">
        <v>168.9411764706</v>
      </c>
      <c r="AL61" t="s">
        <v>424</v>
      </c>
      <c r="AM61">
        <v>9</v>
      </c>
      <c r="AN61">
        <v>8</v>
      </c>
      <c r="AO61">
        <v>123.5</v>
      </c>
      <c r="AP61">
        <v>1</v>
      </c>
      <c r="AQ61">
        <v>324</v>
      </c>
      <c r="AR61">
        <v>1</v>
      </c>
      <c r="AS61">
        <v>46</v>
      </c>
    </row>
    <row r="62" spans="6:51" x14ac:dyDescent="0.2">
      <c r="F62" t="s">
        <v>50</v>
      </c>
      <c r="G62">
        <v>1878</v>
      </c>
      <c r="H62">
        <v>1287</v>
      </c>
      <c r="I62">
        <v>382.04040404040001</v>
      </c>
      <c r="J62">
        <v>546</v>
      </c>
      <c r="K62">
        <v>461.41208791209999</v>
      </c>
      <c r="L62">
        <v>142</v>
      </c>
      <c r="M62">
        <v>147.5563380282</v>
      </c>
      <c r="N62">
        <v>446</v>
      </c>
      <c r="O62">
        <v>395.76905829600003</v>
      </c>
      <c r="R62">
        <v>3</v>
      </c>
      <c r="S62">
        <v>448.6666666667</v>
      </c>
      <c r="V62" t="s">
        <v>379</v>
      </c>
      <c r="W62">
        <v>53610</v>
      </c>
      <c r="X62">
        <v>35587</v>
      </c>
      <c r="Y62">
        <v>365.53488633490002</v>
      </c>
      <c r="Z62">
        <v>4645</v>
      </c>
      <c r="AA62">
        <v>549.8828848224</v>
      </c>
      <c r="AB62">
        <v>10465</v>
      </c>
      <c r="AC62">
        <v>589.9589106546</v>
      </c>
      <c r="AD62">
        <v>4979</v>
      </c>
      <c r="AE62">
        <v>505.31592689299998</v>
      </c>
      <c r="AF62">
        <v>2485</v>
      </c>
      <c r="AG62">
        <v>178.42414486920001</v>
      </c>
      <c r="AH62">
        <v>94</v>
      </c>
      <c r="AI62">
        <v>387.17021276600002</v>
      </c>
      <c r="AL62" t="s">
        <v>379</v>
      </c>
      <c r="AM62">
        <v>1492</v>
      </c>
      <c r="AN62">
        <v>1223</v>
      </c>
      <c r="AO62">
        <v>230.1079313164</v>
      </c>
      <c r="AP62">
        <v>274</v>
      </c>
      <c r="AQ62">
        <v>328.54379562039998</v>
      </c>
      <c r="AR62">
        <v>200</v>
      </c>
      <c r="AS62">
        <v>244.3</v>
      </c>
      <c r="AT62">
        <v>59</v>
      </c>
      <c r="AU62">
        <v>160.11864406780001</v>
      </c>
      <c r="AV62">
        <v>9</v>
      </c>
      <c r="AW62">
        <v>511.2222222222</v>
      </c>
      <c r="AX62">
        <v>1</v>
      </c>
      <c r="AY62">
        <v>824</v>
      </c>
    </row>
    <row r="63" spans="6:51" x14ac:dyDescent="0.2">
      <c r="F63" t="s">
        <v>57</v>
      </c>
      <c r="G63">
        <v>699</v>
      </c>
      <c r="H63">
        <v>602</v>
      </c>
      <c r="I63">
        <v>388.31727574749999</v>
      </c>
      <c r="J63">
        <v>75</v>
      </c>
      <c r="K63">
        <v>837.26666666669996</v>
      </c>
      <c r="L63">
        <v>35</v>
      </c>
      <c r="M63">
        <v>214.68571428569999</v>
      </c>
      <c r="N63">
        <v>62</v>
      </c>
      <c r="O63">
        <v>289.1612903226</v>
      </c>
      <c r="V63" t="s">
        <v>715</v>
      </c>
      <c r="W63">
        <v>300602</v>
      </c>
      <c r="X63">
        <v>207331</v>
      </c>
      <c r="Y63">
        <v>399.85114623480001</v>
      </c>
      <c r="Z63">
        <v>20499</v>
      </c>
      <c r="AA63">
        <v>584.94916825209998</v>
      </c>
      <c r="AB63">
        <v>57121</v>
      </c>
      <c r="AC63">
        <v>623.39355053309998</v>
      </c>
      <c r="AD63">
        <v>22769</v>
      </c>
      <c r="AE63">
        <v>532.37037199700001</v>
      </c>
      <c r="AF63">
        <v>12976</v>
      </c>
      <c r="AG63">
        <v>182.04639334160001</v>
      </c>
      <c r="AH63">
        <v>405</v>
      </c>
      <c r="AI63">
        <v>471.56049382719999</v>
      </c>
      <c r="AL63" t="s">
        <v>715</v>
      </c>
      <c r="AM63">
        <v>6087</v>
      </c>
      <c r="AN63">
        <v>4962</v>
      </c>
      <c r="AO63">
        <v>251.82950423220001</v>
      </c>
      <c r="AP63">
        <v>1450</v>
      </c>
      <c r="AQ63">
        <v>380.75655172410001</v>
      </c>
      <c r="AR63">
        <v>931</v>
      </c>
      <c r="AS63">
        <v>270.20945220189998</v>
      </c>
      <c r="AT63">
        <v>165</v>
      </c>
      <c r="AU63">
        <v>136.2484848485</v>
      </c>
      <c r="AV63">
        <v>28</v>
      </c>
      <c r="AW63">
        <v>338.10714285709997</v>
      </c>
      <c r="AX63">
        <v>1</v>
      </c>
      <c r="AY63">
        <v>824</v>
      </c>
    </row>
    <row r="64" spans="6:51" x14ac:dyDescent="0.2">
      <c r="F64" t="s">
        <v>68</v>
      </c>
      <c r="G64">
        <v>4622</v>
      </c>
      <c r="H64">
        <v>3500</v>
      </c>
      <c r="I64">
        <v>541.4108571429</v>
      </c>
      <c r="J64">
        <v>120</v>
      </c>
      <c r="K64">
        <v>869.60833333330004</v>
      </c>
      <c r="L64">
        <v>291</v>
      </c>
      <c r="M64">
        <v>625.98969072160003</v>
      </c>
      <c r="N64">
        <v>828</v>
      </c>
      <c r="O64">
        <v>861.42270531400004</v>
      </c>
      <c r="R64">
        <v>3</v>
      </c>
      <c r="S64">
        <v>551.66666666670005</v>
      </c>
    </row>
    <row r="65" spans="6:19" x14ac:dyDescent="0.2">
      <c r="F65" t="s">
        <v>70</v>
      </c>
      <c r="G65">
        <v>491</v>
      </c>
      <c r="H65">
        <v>270</v>
      </c>
      <c r="I65">
        <v>111.6407407407</v>
      </c>
      <c r="J65">
        <v>177</v>
      </c>
      <c r="K65">
        <v>207.8474576271</v>
      </c>
      <c r="L65">
        <v>143</v>
      </c>
      <c r="M65">
        <v>124.7622377622</v>
      </c>
      <c r="N65">
        <v>76</v>
      </c>
      <c r="O65">
        <v>183.34210526320001</v>
      </c>
      <c r="R65">
        <v>2</v>
      </c>
      <c r="S65">
        <v>201.5</v>
      </c>
    </row>
    <row r="66" spans="6:19" x14ac:dyDescent="0.2">
      <c r="F66" t="s">
        <v>85</v>
      </c>
      <c r="G66">
        <v>203</v>
      </c>
      <c r="H66">
        <v>73</v>
      </c>
      <c r="I66">
        <v>859.83561643840005</v>
      </c>
      <c r="J66">
        <v>22</v>
      </c>
      <c r="K66">
        <v>1004.9090909091</v>
      </c>
      <c r="L66">
        <v>77</v>
      </c>
      <c r="M66">
        <v>568.35064935059995</v>
      </c>
      <c r="N66">
        <v>52</v>
      </c>
      <c r="O66">
        <v>649.44230769230001</v>
      </c>
      <c r="R66">
        <v>1</v>
      </c>
      <c r="S66">
        <v>194</v>
      </c>
    </row>
    <row r="67" spans="6:19" x14ac:dyDescent="0.2">
      <c r="F67" t="s">
        <v>66</v>
      </c>
      <c r="G67">
        <v>4589</v>
      </c>
      <c r="H67">
        <v>2908</v>
      </c>
      <c r="I67">
        <v>241.7235213205</v>
      </c>
      <c r="J67">
        <v>530</v>
      </c>
      <c r="K67">
        <v>408.91509433959999</v>
      </c>
      <c r="L67">
        <v>1085</v>
      </c>
      <c r="M67">
        <v>486.83778801839998</v>
      </c>
      <c r="N67">
        <v>584</v>
      </c>
      <c r="O67">
        <v>569.97089041100003</v>
      </c>
      <c r="R67">
        <v>12</v>
      </c>
      <c r="S67">
        <v>358.1666666667</v>
      </c>
    </row>
    <row r="68" spans="6:19" x14ac:dyDescent="0.2">
      <c r="F68" t="s">
        <v>440</v>
      </c>
      <c r="G68">
        <v>3</v>
      </c>
      <c r="H68">
        <v>1</v>
      </c>
      <c r="I68">
        <v>421</v>
      </c>
      <c r="N68">
        <v>1</v>
      </c>
      <c r="O68">
        <v>31</v>
      </c>
      <c r="R68">
        <v>1</v>
      </c>
      <c r="S68">
        <v>150</v>
      </c>
    </row>
    <row r="69" spans="6:19" x14ac:dyDescent="0.2">
      <c r="F69" t="s">
        <v>86</v>
      </c>
      <c r="G69">
        <v>9035</v>
      </c>
      <c r="H69">
        <v>6838</v>
      </c>
      <c r="I69">
        <v>262.17739104999998</v>
      </c>
      <c r="J69">
        <v>925</v>
      </c>
      <c r="K69">
        <v>498.04864864860002</v>
      </c>
      <c r="L69">
        <v>1285</v>
      </c>
      <c r="M69">
        <v>185.98132295720001</v>
      </c>
      <c r="N69">
        <v>879</v>
      </c>
      <c r="O69">
        <v>376.80091012510002</v>
      </c>
      <c r="R69">
        <v>33</v>
      </c>
      <c r="S69">
        <v>260.09090909090003</v>
      </c>
    </row>
    <row r="70" spans="6:19" x14ac:dyDescent="0.2">
      <c r="F70" t="s">
        <v>141</v>
      </c>
      <c r="G70">
        <v>172</v>
      </c>
      <c r="H70">
        <v>91</v>
      </c>
      <c r="I70">
        <v>187.17582417579999</v>
      </c>
      <c r="J70">
        <v>15</v>
      </c>
      <c r="K70">
        <v>483.3333333333</v>
      </c>
      <c r="L70">
        <v>35</v>
      </c>
      <c r="M70">
        <v>546.45714285710005</v>
      </c>
      <c r="N70">
        <v>45</v>
      </c>
      <c r="O70">
        <v>479.68888888890001</v>
      </c>
      <c r="R70">
        <v>1</v>
      </c>
      <c r="S70">
        <v>101</v>
      </c>
    </row>
    <row r="71" spans="6:19" x14ac:dyDescent="0.2">
      <c r="F71" t="s">
        <v>379</v>
      </c>
      <c r="G71">
        <v>52779</v>
      </c>
      <c r="H71">
        <v>36813</v>
      </c>
      <c r="I71">
        <v>371.65308450819998</v>
      </c>
      <c r="J71">
        <v>4630</v>
      </c>
      <c r="K71">
        <v>555.24406047519994</v>
      </c>
      <c r="L71">
        <v>10525</v>
      </c>
      <c r="M71">
        <v>592.13026128269996</v>
      </c>
      <c r="N71">
        <v>5346</v>
      </c>
      <c r="O71">
        <v>541.31818181819995</v>
      </c>
      <c r="R71">
        <v>95</v>
      </c>
      <c r="S71">
        <v>387.34736842109999</v>
      </c>
    </row>
    <row r="72" spans="6:19" x14ac:dyDescent="0.2">
      <c r="F72" t="s">
        <v>715</v>
      </c>
      <c r="G72">
        <v>306689</v>
      </c>
      <c r="H72">
        <v>212293</v>
      </c>
      <c r="I72">
        <v>396.39138360660002</v>
      </c>
      <c r="J72">
        <v>21949</v>
      </c>
      <c r="K72">
        <v>571.45974759670003</v>
      </c>
      <c r="L72">
        <v>58052</v>
      </c>
      <c r="M72">
        <v>617.72941500720003</v>
      </c>
      <c r="N72">
        <v>22934</v>
      </c>
      <c r="O72">
        <v>529.52044998689996</v>
      </c>
      <c r="P72">
        <v>13004</v>
      </c>
      <c r="Q72">
        <v>182.38242079360001</v>
      </c>
      <c r="R72">
        <v>406</v>
      </c>
      <c r="S72">
        <v>472.42857142859998</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4"/>
  <sheetViews>
    <sheetView zoomScale="85" zoomScaleNormal="85" workbookViewId="0"/>
  </sheetViews>
  <sheetFormatPr defaultRowHeight="12.75" x14ac:dyDescent="0.2"/>
  <cols>
    <col min="2" max="2" width="24.140625" bestFit="1" customWidth="1"/>
    <col min="3" max="3" width="12.28515625" bestFit="1" customWidth="1"/>
    <col min="4" max="4" width="15.42578125" bestFit="1" customWidth="1"/>
    <col min="5" max="5" width="6.28515625" bestFit="1" customWidth="1"/>
    <col min="6" max="6" width="30.140625" bestFit="1" customWidth="1"/>
    <col min="7" max="7" width="33.42578125" bestFit="1" customWidth="1"/>
    <col min="8" max="8" width="34.5703125" bestFit="1" customWidth="1"/>
    <col min="9" max="9" width="28.5703125" bestFit="1" customWidth="1"/>
    <col min="10" max="10" width="34.42578125" bestFit="1" customWidth="1"/>
    <col min="11" max="11" width="25.28515625" bestFit="1" customWidth="1"/>
    <col min="12" max="12" width="32" bestFit="1" customWidth="1"/>
    <col min="13" max="13" width="33" bestFit="1" customWidth="1"/>
    <col min="14" max="14" width="24" bestFit="1" customWidth="1"/>
    <col min="15" max="15" width="32.85546875" bestFit="1" customWidth="1"/>
    <col min="16" max="16" width="24" bestFit="1" customWidth="1"/>
    <col min="17" max="19" width="12.7109375" bestFit="1" customWidth="1"/>
  </cols>
  <sheetData>
    <row r="2" spans="2:16" x14ac:dyDescent="0.2">
      <c r="B2" t="s">
        <v>945</v>
      </c>
      <c r="C2" t="s">
        <v>512</v>
      </c>
      <c r="D2" t="s">
        <v>935</v>
      </c>
      <c r="E2" t="s">
        <v>936</v>
      </c>
      <c r="F2" t="s">
        <v>937</v>
      </c>
      <c r="G2" t="s">
        <v>938</v>
      </c>
      <c r="H2" t="s">
        <v>940</v>
      </c>
      <c r="I2" t="s">
        <v>941</v>
      </c>
      <c r="J2" t="s">
        <v>942</v>
      </c>
      <c r="K2" t="s">
        <v>943</v>
      </c>
      <c r="L2" t="s">
        <v>939</v>
      </c>
      <c r="M2" t="s">
        <v>949</v>
      </c>
      <c r="N2" t="s">
        <v>950</v>
      </c>
      <c r="O2" t="s">
        <v>951</v>
      </c>
      <c r="P2" t="s">
        <v>952</v>
      </c>
    </row>
    <row r="3" spans="2:16" x14ac:dyDescent="0.2">
      <c r="B3" t="s">
        <v>535</v>
      </c>
      <c r="C3" t="s">
        <v>379</v>
      </c>
      <c r="D3" s="18">
        <v>42172</v>
      </c>
      <c r="E3" t="s">
        <v>144</v>
      </c>
      <c r="F3" s="19">
        <v>0.94380649199729905</v>
      </c>
      <c r="G3" s="19">
        <v>0.89254704199909662</v>
      </c>
      <c r="H3" s="19">
        <v>0.90507961152224692</v>
      </c>
      <c r="I3" s="19">
        <v>4.2516139834241858E-2</v>
      </c>
      <c r="J3" s="19">
        <v>0.89503876121664161</v>
      </c>
      <c r="K3" s="19">
        <v>4.5780591180819244E-2</v>
      </c>
      <c r="L3" s="19"/>
      <c r="M3" s="19"/>
      <c r="N3" s="19"/>
      <c r="O3" s="19"/>
      <c r="P3" s="19"/>
    </row>
    <row r="4" spans="2:16" x14ac:dyDescent="0.2">
      <c r="B4" t="s">
        <v>541</v>
      </c>
      <c r="C4" t="s">
        <v>379</v>
      </c>
      <c r="D4" s="18">
        <v>42172</v>
      </c>
      <c r="E4" t="s">
        <v>147</v>
      </c>
      <c r="F4" s="19">
        <v>0.95362548688336601</v>
      </c>
      <c r="G4" s="19">
        <v>0.88282261545101415</v>
      </c>
      <c r="H4" s="19">
        <v>0.86581783171170357</v>
      </c>
      <c r="I4" s="19">
        <v>4.4544866268599888E-2</v>
      </c>
      <c r="J4" s="19">
        <v>0.84286298940536586</v>
      </c>
      <c r="K4" s="19">
        <v>4.4991386866490402E-2</v>
      </c>
      <c r="L4" s="19"/>
      <c r="M4" s="19"/>
      <c r="N4" s="19"/>
      <c r="O4" s="19"/>
      <c r="P4" s="19"/>
    </row>
    <row r="5" spans="2:16" x14ac:dyDescent="0.2">
      <c r="B5" t="s">
        <v>548</v>
      </c>
      <c r="C5" t="s">
        <v>379</v>
      </c>
      <c r="D5" s="18">
        <v>42172</v>
      </c>
      <c r="E5" t="s">
        <v>148</v>
      </c>
      <c r="F5" s="19">
        <v>0.94871407496934057</v>
      </c>
      <c r="G5" s="19">
        <v>0.84826126053578133</v>
      </c>
      <c r="H5" s="19">
        <v>0.89220254852439496</v>
      </c>
      <c r="I5" s="19">
        <v>4.4380652729539206E-2</v>
      </c>
      <c r="J5" s="19">
        <v>0.90551892337998352</v>
      </c>
      <c r="K5" s="19">
        <v>5.0594791823523055E-2</v>
      </c>
      <c r="L5" s="19"/>
      <c r="M5" s="19"/>
      <c r="N5" s="19"/>
      <c r="O5" s="19"/>
      <c r="P5" s="19"/>
    </row>
    <row r="6" spans="2:16" x14ac:dyDescent="0.2">
      <c r="B6" t="s">
        <v>570</v>
      </c>
      <c r="C6" t="s">
        <v>390</v>
      </c>
      <c r="D6" s="18">
        <v>42172</v>
      </c>
      <c r="E6" t="s">
        <v>156</v>
      </c>
      <c r="F6" s="19">
        <v>0.9724941586212561</v>
      </c>
      <c r="G6" s="19">
        <v>0.97792480020961614</v>
      </c>
      <c r="H6" s="19">
        <v>0.9156731264795549</v>
      </c>
      <c r="I6" s="19">
        <v>3.496702939113263E-2</v>
      </c>
      <c r="J6" s="19">
        <v>0.92168894572165416</v>
      </c>
      <c r="K6" s="19">
        <v>3.4320015663085145E-2</v>
      </c>
      <c r="L6" s="19"/>
      <c r="M6" s="19"/>
      <c r="N6" s="19"/>
      <c r="O6" s="19"/>
      <c r="P6" s="19"/>
    </row>
    <row r="7" spans="2:16" x14ac:dyDescent="0.2">
      <c r="B7" t="s">
        <v>584</v>
      </c>
      <c r="C7" t="s">
        <v>400</v>
      </c>
      <c r="D7" s="18">
        <v>42172</v>
      </c>
      <c r="E7" t="s">
        <v>161</v>
      </c>
      <c r="F7" s="19">
        <v>0.91195796110793981</v>
      </c>
      <c r="G7" s="19">
        <v>0.85867375929702794</v>
      </c>
      <c r="H7" s="19">
        <v>0.8918617287818863</v>
      </c>
      <c r="I7" s="19">
        <v>4.1756628023527753E-2</v>
      </c>
      <c r="J7" s="19">
        <v>0.86429911431446627</v>
      </c>
      <c r="K7" s="19">
        <v>4.916708525299214E-2</v>
      </c>
      <c r="L7" s="19"/>
      <c r="M7" s="19"/>
      <c r="N7" s="19"/>
      <c r="O7" s="19"/>
      <c r="P7" s="19"/>
    </row>
    <row r="8" spans="2:16" x14ac:dyDescent="0.2">
      <c r="B8" t="s">
        <v>608</v>
      </c>
      <c r="C8" t="s">
        <v>414</v>
      </c>
      <c r="D8" s="18">
        <v>42172</v>
      </c>
      <c r="E8" t="s">
        <v>171</v>
      </c>
      <c r="F8" s="19">
        <v>0.99437622219100763</v>
      </c>
      <c r="G8" s="19">
        <v>0.97638257616945401</v>
      </c>
      <c r="H8" s="19">
        <v>0.93169186077843202</v>
      </c>
      <c r="I8" s="19">
        <v>3.0303610062754345E-2</v>
      </c>
      <c r="J8" s="19">
        <v>0.89602018724641974</v>
      </c>
      <c r="K8" s="19">
        <v>4.8076060907046456E-2</v>
      </c>
      <c r="L8" s="19"/>
      <c r="M8" s="19"/>
      <c r="N8" s="19"/>
      <c r="O8" s="19"/>
      <c r="P8" s="19"/>
    </row>
    <row r="9" spans="2:16" x14ac:dyDescent="0.2">
      <c r="B9" t="s">
        <v>610</v>
      </c>
      <c r="C9" t="s">
        <v>414</v>
      </c>
      <c r="D9" s="18">
        <v>42172</v>
      </c>
      <c r="E9" t="s">
        <v>172</v>
      </c>
      <c r="F9" s="19">
        <v>0.95514839538716045</v>
      </c>
      <c r="G9" s="19">
        <v>0.88206202019359159</v>
      </c>
      <c r="H9" s="19">
        <v>0.88665367680441842</v>
      </c>
      <c r="I9" s="19">
        <v>4.4800392641262121E-2</v>
      </c>
      <c r="J9" s="19">
        <v>0.9041646986328411</v>
      </c>
      <c r="K9" s="19">
        <v>4.0923319615191932E-2</v>
      </c>
      <c r="L9" s="19"/>
      <c r="M9" s="19"/>
      <c r="N9" s="19"/>
      <c r="O9" s="19"/>
      <c r="P9" s="19"/>
    </row>
    <row r="10" spans="2:16" x14ac:dyDescent="0.2">
      <c r="B10" t="s">
        <v>556</v>
      </c>
      <c r="C10" t="s">
        <v>390</v>
      </c>
      <c r="D10" s="18">
        <v>42172</v>
      </c>
      <c r="E10" t="s">
        <v>151</v>
      </c>
      <c r="F10" s="19">
        <v>0.93086141098555164</v>
      </c>
      <c r="G10" s="19">
        <v>0.90022476608645652</v>
      </c>
      <c r="H10" s="19">
        <v>0.91150324612073286</v>
      </c>
      <c r="I10" s="19">
        <v>3.9428989092747953E-2</v>
      </c>
      <c r="J10" s="19">
        <v>0.82643402959861478</v>
      </c>
      <c r="K10" s="19">
        <v>5.1273092319139124E-2</v>
      </c>
      <c r="L10" s="19"/>
      <c r="M10" s="19"/>
      <c r="N10" s="19"/>
      <c r="O10" s="19"/>
      <c r="P10" s="19"/>
    </row>
    <row r="11" spans="2:16" x14ac:dyDescent="0.2">
      <c r="B11" t="s">
        <v>221</v>
      </c>
      <c r="C11" t="s">
        <v>379</v>
      </c>
      <c r="D11" s="18">
        <v>42172</v>
      </c>
      <c r="E11" t="s">
        <v>153</v>
      </c>
      <c r="F11" s="19">
        <v>0.95892118819625649</v>
      </c>
      <c r="G11" s="19">
        <v>0.79939185656733402</v>
      </c>
      <c r="H11" s="19">
        <v>0.83629756840852632</v>
      </c>
      <c r="I11" s="19">
        <v>5.0583679595135961E-2</v>
      </c>
      <c r="J11" s="19">
        <v>0.93371976313245308</v>
      </c>
      <c r="K11" s="19">
        <v>3.0014731871330795E-2</v>
      </c>
      <c r="L11" s="257"/>
      <c r="M11" s="257"/>
      <c r="N11" s="257"/>
      <c r="O11" s="257"/>
      <c r="P11" s="257"/>
    </row>
    <row r="12" spans="2:16" x14ac:dyDescent="0.2">
      <c r="B12" t="s">
        <v>576</v>
      </c>
      <c r="C12" t="s">
        <v>400</v>
      </c>
      <c r="D12" s="18">
        <v>42172</v>
      </c>
      <c r="E12" t="s">
        <v>158</v>
      </c>
      <c r="F12" s="19">
        <v>0.95128413254602928</v>
      </c>
      <c r="G12" s="19">
        <v>0.95036111596482031</v>
      </c>
      <c r="H12" s="19">
        <v>0.92818981404552925</v>
      </c>
      <c r="I12" s="19">
        <v>3.5012899236234102E-2</v>
      </c>
      <c r="J12" s="19">
        <v>0.88639952847045034</v>
      </c>
      <c r="K12" s="19">
        <v>4.7898092171808813E-2</v>
      </c>
      <c r="L12" s="19"/>
      <c r="M12" s="19"/>
      <c r="N12" s="19"/>
      <c r="O12" s="19"/>
      <c r="P12" s="19"/>
    </row>
    <row r="13" spans="2:16" x14ac:dyDescent="0.2">
      <c r="B13" t="s">
        <v>595</v>
      </c>
      <c r="C13" t="s">
        <v>400</v>
      </c>
      <c r="D13" s="18">
        <v>42172</v>
      </c>
      <c r="E13" t="s">
        <v>166</v>
      </c>
      <c r="F13" s="19">
        <v>0.982554484160166</v>
      </c>
      <c r="G13" s="19">
        <v>0.92912796697626421</v>
      </c>
      <c r="H13" s="19">
        <v>0.96784292972805974</v>
      </c>
      <c r="I13" s="19">
        <v>3.1078183342788536E-2</v>
      </c>
      <c r="J13" s="19">
        <v>0.97969992945021578</v>
      </c>
      <c r="K13" s="19">
        <v>2.0676142347980785E-2</v>
      </c>
      <c r="L13" s="19"/>
      <c r="M13" s="19"/>
      <c r="N13" s="19"/>
      <c r="O13" s="19"/>
      <c r="P13" s="19"/>
    </row>
    <row r="14" spans="2:16" x14ac:dyDescent="0.2">
      <c r="B14" t="s">
        <v>603</v>
      </c>
      <c r="C14" t="s">
        <v>414</v>
      </c>
      <c r="D14" s="18">
        <v>42172</v>
      </c>
      <c r="E14" t="s">
        <v>169</v>
      </c>
      <c r="F14" s="19">
        <v>0.95546819231945879</v>
      </c>
      <c r="G14" s="19">
        <v>0.88816305861501443</v>
      </c>
      <c r="H14" s="19">
        <v>0.90764900295284567</v>
      </c>
      <c r="I14" s="19">
        <v>4.4552930505570243E-2</v>
      </c>
      <c r="J14" s="19">
        <v>0.94385078548907597</v>
      </c>
      <c r="K14" s="19">
        <v>3.2844461061456373E-2</v>
      </c>
      <c r="L14" s="19"/>
      <c r="M14" s="19"/>
      <c r="N14" s="19"/>
      <c r="O14" s="19"/>
      <c r="P14" s="19"/>
    </row>
    <row r="15" spans="2:16" x14ac:dyDescent="0.2">
      <c r="B15" t="s">
        <v>644</v>
      </c>
      <c r="C15" t="s">
        <v>379</v>
      </c>
      <c r="D15" s="18">
        <v>42172</v>
      </c>
      <c r="E15" t="s">
        <v>186</v>
      </c>
      <c r="F15" s="19">
        <v>0.97136833894912233</v>
      </c>
      <c r="G15" s="19">
        <v>0.90754927919976458</v>
      </c>
      <c r="H15" s="19">
        <v>0.89543861051315943</v>
      </c>
      <c r="I15" s="19">
        <v>5.0565755933903486E-2</v>
      </c>
      <c r="J15" s="19">
        <v>0.96208750600990522</v>
      </c>
      <c r="K15" s="19">
        <v>3.2102920575488907E-2</v>
      </c>
      <c r="L15" s="19"/>
      <c r="M15" s="19"/>
      <c r="N15" s="19"/>
      <c r="O15" s="19"/>
      <c r="P15" s="19"/>
    </row>
    <row r="16" spans="2:16" x14ac:dyDescent="0.2">
      <c r="B16" t="s">
        <v>660</v>
      </c>
      <c r="C16" t="s">
        <v>379</v>
      </c>
      <c r="D16" s="18">
        <v>42172</v>
      </c>
      <c r="E16" t="s">
        <v>193</v>
      </c>
      <c r="F16" s="19">
        <v>0.94191628545479666</v>
      </c>
      <c r="G16" s="19">
        <v>0.87576237391508338</v>
      </c>
      <c r="H16" s="19">
        <v>0.87278812135354511</v>
      </c>
      <c r="I16" s="19">
        <v>4.1148542696516376E-2</v>
      </c>
      <c r="J16" s="19">
        <v>0.89020310815742787</v>
      </c>
      <c r="K16" s="19">
        <v>4.6809227432633167E-2</v>
      </c>
      <c r="L16" s="257"/>
      <c r="M16" s="257"/>
      <c r="N16" s="257"/>
      <c r="O16" s="257"/>
      <c r="P16" s="257"/>
    </row>
    <row r="17" spans="2:16" x14ac:dyDescent="0.2">
      <c r="B17" t="s">
        <v>662</v>
      </c>
      <c r="C17" t="s">
        <v>414</v>
      </c>
      <c r="D17" s="18">
        <v>42172</v>
      </c>
      <c r="E17" t="s">
        <v>194</v>
      </c>
      <c r="F17" s="19">
        <v>0.94408417988725424</v>
      </c>
      <c r="G17" s="19">
        <v>0.82203134418324308</v>
      </c>
      <c r="H17" s="19">
        <v>0.86426318483196962</v>
      </c>
      <c r="I17" s="19">
        <v>4.5180524245403288E-2</v>
      </c>
      <c r="J17" s="19">
        <v>0.95809596847760081</v>
      </c>
      <c r="K17" s="19">
        <v>2.9972375158303706E-2</v>
      </c>
      <c r="L17" s="19"/>
      <c r="M17" s="19"/>
      <c r="N17" s="19"/>
      <c r="O17" s="19"/>
      <c r="P17" s="19"/>
    </row>
    <row r="18" spans="2:16" x14ac:dyDescent="0.2">
      <c r="B18" t="s">
        <v>715</v>
      </c>
      <c r="D18" s="18">
        <v>42172</v>
      </c>
      <c r="E18" t="s">
        <v>946</v>
      </c>
      <c r="F18" s="19">
        <v>0.96182586538183457</v>
      </c>
      <c r="G18" s="19">
        <v>0.90110625575584147</v>
      </c>
      <c r="H18" s="19">
        <v>0.90686154524514007</v>
      </c>
      <c r="I18" s="19">
        <v>6.8423548499075794E-3</v>
      </c>
      <c r="J18" s="19">
        <v>0.91566535234070079</v>
      </c>
      <c r="K18" s="19">
        <v>7.0650939435798676E-3</v>
      </c>
      <c r="L18" s="19">
        <v>0.96604685863498774</v>
      </c>
      <c r="M18" s="19">
        <v>0.97815698969526177</v>
      </c>
      <c r="N18" s="19">
        <v>1.2382576246398358E-2</v>
      </c>
      <c r="O18" s="19">
        <v>0.97694405088297964</v>
      </c>
      <c r="P18" s="19">
        <v>1.6233640928266835E-2</v>
      </c>
    </row>
    <row r="19" spans="2:16" x14ac:dyDescent="0.2">
      <c r="B19" t="s">
        <v>550</v>
      </c>
      <c r="C19" t="s">
        <v>379</v>
      </c>
      <c r="D19" s="18">
        <v>42172</v>
      </c>
      <c r="E19" t="s">
        <v>149</v>
      </c>
      <c r="F19" s="19">
        <v>0.93134075670949423</v>
      </c>
      <c r="G19" s="19">
        <v>0.87277920163492295</v>
      </c>
      <c r="H19" s="19">
        <v>0.83221513545106207</v>
      </c>
      <c r="I19" s="19">
        <v>4.7832508114165645E-2</v>
      </c>
      <c r="J19" s="19">
        <v>0.83830711771888256</v>
      </c>
      <c r="K19" s="19">
        <v>4.9479304242210628E-2</v>
      </c>
      <c r="L19" s="19"/>
      <c r="M19" s="19"/>
      <c r="N19" s="19"/>
      <c r="O19" s="19"/>
      <c r="P19" s="19"/>
    </row>
    <row r="20" spans="2:16" x14ac:dyDescent="0.2">
      <c r="B20" t="s">
        <v>558</v>
      </c>
      <c r="C20" t="s">
        <v>390</v>
      </c>
      <c r="D20" s="18">
        <v>42172</v>
      </c>
      <c r="E20" t="s">
        <v>152</v>
      </c>
      <c r="F20" s="19">
        <v>0.93971421142620704</v>
      </c>
      <c r="G20" s="19">
        <v>0.88045103441544326</v>
      </c>
      <c r="H20" s="19">
        <v>0.894179462371682</v>
      </c>
      <c r="I20" s="19">
        <v>4.7464579727555148E-2</v>
      </c>
      <c r="J20" s="19">
        <v>0.95504092002809204</v>
      </c>
      <c r="K20" s="19">
        <v>3.1862045661256812E-2</v>
      </c>
      <c r="L20" s="19"/>
      <c r="M20" s="19"/>
      <c r="N20" s="19"/>
      <c r="O20" s="19"/>
      <c r="P20" s="19"/>
    </row>
    <row r="21" spans="2:16" x14ac:dyDescent="0.2">
      <c r="B21" t="s">
        <v>568</v>
      </c>
      <c r="C21" t="s">
        <v>395</v>
      </c>
      <c r="D21" s="18">
        <v>42172</v>
      </c>
      <c r="E21" t="s">
        <v>155</v>
      </c>
      <c r="F21" s="19">
        <v>0.88276247984852896</v>
      </c>
      <c r="G21" s="19">
        <v>0.87444247671520403</v>
      </c>
      <c r="H21" s="19">
        <v>0.9051670470672204</v>
      </c>
      <c r="I21" s="19">
        <v>4.2194122989220519E-2</v>
      </c>
      <c r="J21" s="19">
        <v>0.92045051976334724</v>
      </c>
      <c r="K21" s="19">
        <v>3.8881304068965006E-2</v>
      </c>
      <c r="L21" s="19"/>
      <c r="M21" s="19"/>
      <c r="N21" s="19"/>
      <c r="O21" s="19"/>
      <c r="P21" s="19"/>
    </row>
    <row r="22" spans="2:16" x14ac:dyDescent="0.2">
      <c r="B22" t="s">
        <v>572</v>
      </c>
      <c r="C22" t="s">
        <v>395</v>
      </c>
      <c r="D22" s="18">
        <v>42172</v>
      </c>
      <c r="E22" t="s">
        <v>157</v>
      </c>
      <c r="F22" s="19">
        <v>0.98301274092926538</v>
      </c>
      <c r="G22" s="19">
        <v>0.93906909575649844</v>
      </c>
      <c r="H22" s="19">
        <v>0.93007278804742755</v>
      </c>
      <c r="I22" s="19">
        <v>3.2014453398777218E-2</v>
      </c>
      <c r="J22" s="19">
        <v>0.85144373541626239</v>
      </c>
      <c r="K22" s="19">
        <v>5.9488292074374415E-2</v>
      </c>
      <c r="L22" s="19"/>
      <c r="M22" s="19"/>
      <c r="N22" s="19"/>
      <c r="O22" s="19"/>
      <c r="P22" s="19"/>
    </row>
    <row r="23" spans="2:16" x14ac:dyDescent="0.2">
      <c r="B23" t="s">
        <v>622</v>
      </c>
      <c r="C23" t="s">
        <v>395</v>
      </c>
      <c r="D23" s="18">
        <v>42172</v>
      </c>
      <c r="E23" t="s">
        <v>177</v>
      </c>
      <c r="F23" s="19">
        <v>0.98374626796329789</v>
      </c>
      <c r="G23" s="19">
        <v>0.97679116004594246</v>
      </c>
      <c r="H23" s="19">
        <v>0.93630478694501973</v>
      </c>
      <c r="I23" s="19">
        <v>3.2967646727877879E-2</v>
      </c>
      <c r="J23" s="19">
        <v>0.91156987419684243</v>
      </c>
      <c r="K23" s="19">
        <v>4.3246363682477522E-2</v>
      </c>
      <c r="L23" s="19"/>
      <c r="M23" s="19"/>
      <c r="N23" s="19"/>
      <c r="O23" s="19"/>
      <c r="P23" s="19"/>
    </row>
    <row r="24" spans="2:16" x14ac:dyDescent="0.2">
      <c r="B24" t="s">
        <v>630</v>
      </c>
      <c r="C24" t="s">
        <v>390</v>
      </c>
      <c r="D24" s="18">
        <v>42172</v>
      </c>
      <c r="E24" t="s">
        <v>181</v>
      </c>
      <c r="F24" s="19">
        <v>0.9617061956258699</v>
      </c>
      <c r="G24" s="19">
        <v>0.83844729000563745</v>
      </c>
      <c r="H24" s="19">
        <v>0.88210046091108452</v>
      </c>
      <c r="I24" s="19">
        <v>4.5133841904029311E-2</v>
      </c>
      <c r="J24" s="19">
        <v>0.88432526568786285</v>
      </c>
      <c r="K24" s="19">
        <v>4.5498488767913584E-2</v>
      </c>
      <c r="L24" s="19"/>
      <c r="M24" s="19"/>
      <c r="N24" s="19"/>
      <c r="O24" s="19"/>
      <c r="P24" s="19"/>
    </row>
    <row r="25" spans="2:16" x14ac:dyDescent="0.2">
      <c r="B25" t="s">
        <v>543</v>
      </c>
      <c r="C25" t="s">
        <v>379</v>
      </c>
      <c r="D25" s="18">
        <v>42172</v>
      </c>
      <c r="E25" t="s">
        <v>102</v>
      </c>
      <c r="F25" s="19">
        <v>0.90865213041132786</v>
      </c>
      <c r="G25" s="19">
        <v>0.78308141584780711</v>
      </c>
      <c r="H25" s="19">
        <v>0.86450871504688398</v>
      </c>
      <c r="I25" s="19">
        <v>4.898247766391968E-2</v>
      </c>
      <c r="J25" s="19">
        <v>0.91848003911697462</v>
      </c>
      <c r="K25" s="19">
        <v>4.3623460147812522E-2</v>
      </c>
      <c r="L25" s="19">
        <v>0.96956848030018761</v>
      </c>
      <c r="M25" s="19">
        <v>0.97429808300267595</v>
      </c>
      <c r="N25" s="19">
        <v>2.6383439443076213E-2</v>
      </c>
      <c r="O25" s="19">
        <v>0.95524786762096037</v>
      </c>
      <c r="P25" s="19">
        <v>3.8407991962022478E-2</v>
      </c>
    </row>
    <row r="26" spans="2:16" x14ac:dyDescent="0.2">
      <c r="B26" t="s">
        <v>546</v>
      </c>
      <c r="C26" t="s">
        <v>379</v>
      </c>
      <c r="D26" s="18">
        <v>42172</v>
      </c>
      <c r="E26" t="s">
        <v>148</v>
      </c>
      <c r="F26" s="19">
        <v>0.94871407496934057</v>
      </c>
      <c r="G26" s="19">
        <v>0.84826126053578133</v>
      </c>
      <c r="H26" s="19">
        <v>0.89220254852439496</v>
      </c>
      <c r="I26" s="19">
        <v>4.4380652729539206E-2</v>
      </c>
      <c r="J26" s="19">
        <v>0.90551892337998352</v>
      </c>
      <c r="K26" s="19">
        <v>5.0594791823523055E-2</v>
      </c>
      <c r="L26" s="19"/>
      <c r="M26" s="19"/>
      <c r="N26" s="19"/>
      <c r="O26" s="19"/>
      <c r="P26" s="19"/>
    </row>
    <row r="27" spans="2:16" x14ac:dyDescent="0.2">
      <c r="B27" t="s">
        <v>552</v>
      </c>
      <c r="C27" t="s">
        <v>379</v>
      </c>
      <c r="D27" s="18">
        <v>42172</v>
      </c>
      <c r="E27" t="s">
        <v>108</v>
      </c>
      <c r="F27" s="19">
        <v>0.96690726900268587</v>
      </c>
      <c r="G27" s="19">
        <v>0.85710220464893372</v>
      </c>
      <c r="H27" s="19">
        <v>0.91197422642180992</v>
      </c>
      <c r="I27" s="19">
        <v>4.4676480650515132E-2</v>
      </c>
      <c r="J27" s="19">
        <v>0.95360792222993207</v>
      </c>
      <c r="K27" s="19">
        <v>2.6055898443749826E-2</v>
      </c>
      <c r="L27" s="19"/>
      <c r="M27" s="19"/>
      <c r="N27" s="19"/>
      <c r="O27" s="19"/>
      <c r="P27" s="19"/>
    </row>
    <row r="28" spans="2:16" x14ac:dyDescent="0.2">
      <c r="B28" t="s">
        <v>564</v>
      </c>
      <c r="C28" t="s">
        <v>390</v>
      </c>
      <c r="D28" s="18">
        <v>42172</v>
      </c>
      <c r="E28" t="s">
        <v>154</v>
      </c>
      <c r="F28" s="19">
        <v>0.97162302545143442</v>
      </c>
      <c r="G28" s="19">
        <v>0.87771051183269122</v>
      </c>
      <c r="H28" s="19">
        <v>0.92971471226188196</v>
      </c>
      <c r="I28" s="19">
        <v>4.8113621139600722E-2</v>
      </c>
      <c r="J28" s="19">
        <v>0.94213915947425519</v>
      </c>
      <c r="K28" s="19">
        <v>4.3123667600010691E-2</v>
      </c>
      <c r="L28" s="19"/>
      <c r="M28" s="19"/>
      <c r="N28" s="19"/>
      <c r="O28" s="19"/>
      <c r="P28" s="19"/>
    </row>
    <row r="29" spans="2:16" x14ac:dyDescent="0.2">
      <c r="B29" t="s">
        <v>588</v>
      </c>
      <c r="C29" t="s">
        <v>400</v>
      </c>
      <c r="D29" s="18">
        <v>42172</v>
      </c>
      <c r="E29" t="s">
        <v>163</v>
      </c>
      <c r="F29" s="19">
        <v>0.98861259862479789</v>
      </c>
      <c r="G29" s="19">
        <v>0.95273713628144008</v>
      </c>
      <c r="H29" s="19">
        <v>0.95669990173578767</v>
      </c>
      <c r="I29" s="19">
        <v>3.5571906670509038E-2</v>
      </c>
      <c r="J29" s="19">
        <v>0.90955461997105147</v>
      </c>
      <c r="K29" s="19">
        <v>5.3616653461801604E-2</v>
      </c>
      <c r="L29" s="19">
        <v>0.92004174357860691</v>
      </c>
      <c r="M29" s="19">
        <v>0.96470723620678556</v>
      </c>
      <c r="N29" s="19">
        <v>2.6375501105053302E-2</v>
      </c>
      <c r="O29" s="19">
        <v>0.99654953665206458</v>
      </c>
      <c r="P29" s="19">
        <v>5.1258035087415974E-3</v>
      </c>
    </row>
    <row r="30" spans="2:16" x14ac:dyDescent="0.2">
      <c r="B30" t="s">
        <v>593</v>
      </c>
      <c r="C30" t="s">
        <v>400</v>
      </c>
      <c r="D30" s="18">
        <v>42172</v>
      </c>
      <c r="E30" t="s">
        <v>165</v>
      </c>
      <c r="F30" s="19">
        <v>1</v>
      </c>
      <c r="G30" s="19">
        <v>1</v>
      </c>
      <c r="H30" s="19">
        <v>0.97425389608244861</v>
      </c>
      <c r="I30" s="19">
        <v>1.9269149785533842E-2</v>
      </c>
      <c r="J30" s="19">
        <v>0.95664148712616282</v>
      </c>
      <c r="K30" s="19">
        <v>2.7266720544085247E-2</v>
      </c>
      <c r="L30" s="19"/>
      <c r="M30" s="19"/>
      <c r="N30" s="19"/>
      <c r="O30" s="19"/>
      <c r="P30" s="19"/>
    </row>
    <row r="31" spans="2:16" x14ac:dyDescent="0.2">
      <c r="B31" t="s">
        <v>601</v>
      </c>
      <c r="C31" t="s">
        <v>395</v>
      </c>
      <c r="D31" s="18">
        <v>42172</v>
      </c>
      <c r="E31" t="s">
        <v>168</v>
      </c>
      <c r="F31" s="19">
        <v>0.98422791732397652</v>
      </c>
      <c r="G31" s="19">
        <v>0.92902408111533585</v>
      </c>
      <c r="H31" s="19">
        <v>0.9240777455488014</v>
      </c>
      <c r="I31" s="19">
        <v>3.5916356446442491E-2</v>
      </c>
      <c r="J31" s="19">
        <v>0.9283687911791112</v>
      </c>
      <c r="K31" s="19">
        <v>3.4371378165650057E-2</v>
      </c>
      <c r="L31" s="19"/>
      <c r="M31" s="19"/>
      <c r="N31" s="19"/>
      <c r="O31" s="19"/>
      <c r="P31" s="19"/>
    </row>
    <row r="32" spans="2:16" x14ac:dyDescent="0.2">
      <c r="B32" t="s">
        <v>219</v>
      </c>
      <c r="C32" t="s">
        <v>395</v>
      </c>
      <c r="D32" s="18">
        <v>42172</v>
      </c>
      <c r="E32" t="s">
        <v>170</v>
      </c>
      <c r="F32" s="19">
        <v>0.99490722785817831</v>
      </c>
      <c r="G32" s="19">
        <v>1</v>
      </c>
      <c r="H32" s="19">
        <v>0.88781454823299877</v>
      </c>
      <c r="I32" s="19">
        <v>3.9833610010014266E-2</v>
      </c>
      <c r="J32" s="19">
        <v>0.92666335168058311</v>
      </c>
      <c r="K32" s="19">
        <v>4.0073296388496257E-2</v>
      </c>
      <c r="L32" s="19"/>
      <c r="M32" s="19"/>
      <c r="N32" s="19"/>
      <c r="O32" s="19"/>
      <c r="P32" s="19"/>
    </row>
    <row r="33" spans="2:16" x14ac:dyDescent="0.2">
      <c r="B33" t="s">
        <v>614</v>
      </c>
      <c r="C33" t="s">
        <v>414</v>
      </c>
      <c r="D33" s="18">
        <v>42172</v>
      </c>
      <c r="E33" t="s">
        <v>174</v>
      </c>
      <c r="F33" s="19">
        <v>0.98687181680314295</v>
      </c>
      <c r="G33" s="19">
        <v>0.90453342218766797</v>
      </c>
      <c r="H33" s="19">
        <v>0.90503444791288412</v>
      </c>
      <c r="I33" s="19">
        <v>3.9128746633845496E-2</v>
      </c>
      <c r="J33" s="19">
        <v>0.93200818304915023</v>
      </c>
      <c r="K33" s="19">
        <v>4.1069770551507859E-2</v>
      </c>
      <c r="L33" s="19"/>
      <c r="M33" s="19"/>
      <c r="N33" s="19"/>
      <c r="O33" s="19"/>
      <c r="P33" s="19"/>
    </row>
    <row r="34" spans="2:16" x14ac:dyDescent="0.2">
      <c r="B34" t="s">
        <v>626</v>
      </c>
      <c r="C34" t="s">
        <v>395</v>
      </c>
      <c r="D34" s="18">
        <v>42172</v>
      </c>
      <c r="E34" t="s">
        <v>179</v>
      </c>
      <c r="F34" s="19">
        <v>0.98576296159867371</v>
      </c>
      <c r="G34" s="19">
        <v>0.92780424021668073</v>
      </c>
      <c r="H34" s="19">
        <v>0.93092666647188504</v>
      </c>
      <c r="I34" s="19">
        <v>3.9036618661732587E-2</v>
      </c>
      <c r="J34" s="19">
        <v>0.95046272385975394</v>
      </c>
      <c r="K34" s="19">
        <v>4.8164094682962927E-2</v>
      </c>
      <c r="L34" s="19"/>
      <c r="M34" s="19"/>
      <c r="N34" s="19"/>
      <c r="O34" s="19"/>
      <c r="P34" s="19"/>
    </row>
    <row r="35" spans="2:16" x14ac:dyDescent="0.2">
      <c r="B35" t="s">
        <v>529</v>
      </c>
      <c r="C35" t="s">
        <v>379</v>
      </c>
      <c r="D35" s="18">
        <v>42172</v>
      </c>
      <c r="E35" t="s">
        <v>142</v>
      </c>
      <c r="F35" s="19">
        <v>0.89547703739678575</v>
      </c>
      <c r="G35" s="19">
        <v>0.85724912090884497</v>
      </c>
      <c r="H35" s="19">
        <v>0.88080231846990087</v>
      </c>
      <c r="I35" s="19">
        <v>4.8730308413492907E-2</v>
      </c>
      <c r="J35" s="19">
        <v>0.87561903097797933</v>
      </c>
      <c r="K35" s="19">
        <v>5.9075420563334619E-2</v>
      </c>
      <c r="L35" s="19"/>
      <c r="M35" s="19"/>
      <c r="N35" s="19"/>
      <c r="O35" s="19"/>
      <c r="P35" s="19"/>
    </row>
    <row r="36" spans="2:16" x14ac:dyDescent="0.2">
      <c r="B36" t="s">
        <v>539</v>
      </c>
      <c r="C36" t="s">
        <v>379</v>
      </c>
      <c r="D36" s="18">
        <v>42172</v>
      </c>
      <c r="E36" t="s">
        <v>146</v>
      </c>
      <c r="F36" s="19">
        <v>0.96061599959001698</v>
      </c>
      <c r="G36" s="19">
        <v>0.92735426008968613</v>
      </c>
      <c r="H36" s="19">
        <v>0.93565771383262453</v>
      </c>
      <c r="I36" s="19">
        <v>3.2359269054381912E-2</v>
      </c>
      <c r="J36" s="19">
        <v>0.97464881883895971</v>
      </c>
      <c r="K36" s="19">
        <v>2.6565834709229037E-2</v>
      </c>
      <c r="L36" s="19"/>
      <c r="M36" s="19"/>
      <c r="N36" s="19"/>
      <c r="O36" s="19"/>
      <c r="P36" s="19"/>
    </row>
    <row r="37" spans="2:16" x14ac:dyDescent="0.2">
      <c r="B37" t="s">
        <v>218</v>
      </c>
      <c r="C37" t="s">
        <v>379</v>
      </c>
      <c r="D37" s="18">
        <v>42172</v>
      </c>
      <c r="E37" t="s">
        <v>102</v>
      </c>
      <c r="F37" s="19">
        <v>0.90865213041132786</v>
      </c>
      <c r="G37" s="19">
        <v>0.78308141584780711</v>
      </c>
      <c r="H37" s="19">
        <v>0.86450871504688398</v>
      </c>
      <c r="I37" s="19">
        <v>4.898247766391968E-2</v>
      </c>
      <c r="J37" s="19">
        <v>0.91848003911697462</v>
      </c>
      <c r="K37" s="19">
        <v>4.3623460147812522E-2</v>
      </c>
      <c r="L37" s="19">
        <v>0.96956848030018761</v>
      </c>
      <c r="M37" s="19">
        <v>0.97429808300267595</v>
      </c>
      <c r="N37" s="19">
        <v>2.6383439443076213E-2</v>
      </c>
      <c r="O37" s="19">
        <v>0.95524786762096037</v>
      </c>
      <c r="P37" s="19">
        <v>3.8407991962022478E-2</v>
      </c>
    </row>
    <row r="38" spans="2:16" x14ac:dyDescent="0.2">
      <c r="B38" t="s">
        <v>979</v>
      </c>
      <c r="C38" t="s">
        <v>379</v>
      </c>
      <c r="D38" s="18">
        <v>42172</v>
      </c>
      <c r="E38" t="s">
        <v>153</v>
      </c>
      <c r="F38" s="19">
        <v>0.95892118819625649</v>
      </c>
      <c r="G38" s="19">
        <v>0.79939185656733402</v>
      </c>
      <c r="H38" s="19">
        <v>0.83629756840852632</v>
      </c>
      <c r="I38" s="19">
        <v>5.0583679595135961E-2</v>
      </c>
      <c r="J38" s="19">
        <v>0.93371976313245308</v>
      </c>
      <c r="K38" s="19">
        <v>3.0014731871330795E-2</v>
      </c>
      <c r="L38" s="19"/>
      <c r="M38" s="19"/>
      <c r="N38" s="19"/>
      <c r="O38" s="19"/>
      <c r="P38" s="19"/>
    </row>
    <row r="39" spans="2:16" x14ac:dyDescent="0.2">
      <c r="B39" t="s">
        <v>580</v>
      </c>
      <c r="C39" t="s">
        <v>390</v>
      </c>
      <c r="D39" s="18">
        <v>42172</v>
      </c>
      <c r="E39" t="s">
        <v>160</v>
      </c>
      <c r="F39" s="19">
        <v>0.97766101223568391</v>
      </c>
      <c r="G39" s="19">
        <v>0.94532476960915035</v>
      </c>
      <c r="H39" s="19">
        <v>0.89857665958696287</v>
      </c>
      <c r="I39" s="19">
        <v>4.238026065999094E-2</v>
      </c>
      <c r="J39" s="19">
        <v>0.90143299053110748</v>
      </c>
      <c r="K39" s="19">
        <v>4.2366719229232998E-2</v>
      </c>
      <c r="L39" s="19"/>
      <c r="M39" s="19"/>
      <c r="N39" s="19"/>
      <c r="O39" s="19"/>
      <c r="P39" s="19"/>
    </row>
    <row r="40" spans="2:16" x14ac:dyDescent="0.2">
      <c r="B40" t="s">
        <v>582</v>
      </c>
      <c r="C40" t="s">
        <v>390</v>
      </c>
      <c r="D40" s="18">
        <v>42172</v>
      </c>
      <c r="E40" t="s">
        <v>160</v>
      </c>
      <c r="F40" s="19">
        <v>0.97766101223568391</v>
      </c>
      <c r="G40" s="19">
        <v>0.94532476960915035</v>
      </c>
      <c r="H40" s="19">
        <v>0.89857665958696287</v>
      </c>
      <c r="I40" s="19">
        <v>4.238026065999094E-2</v>
      </c>
      <c r="J40" s="19">
        <v>0.90143299053110748</v>
      </c>
      <c r="K40" s="19">
        <v>4.2366719229232998E-2</v>
      </c>
      <c r="L40" s="19"/>
      <c r="M40" s="19"/>
      <c r="N40" s="19"/>
      <c r="O40" s="19"/>
      <c r="P40" s="19"/>
    </row>
    <row r="41" spans="2:16" x14ac:dyDescent="0.2">
      <c r="B41" t="s">
        <v>217</v>
      </c>
      <c r="C41" t="s">
        <v>400</v>
      </c>
      <c r="D41" s="18">
        <v>42172</v>
      </c>
      <c r="E41" t="s">
        <v>163</v>
      </c>
      <c r="F41" s="19">
        <v>0.98861259862479789</v>
      </c>
      <c r="G41" s="19">
        <v>0.95273713628144008</v>
      </c>
      <c r="H41" s="19">
        <v>0.95669990173578767</v>
      </c>
      <c r="I41" s="19">
        <v>3.5571906670509038E-2</v>
      </c>
      <c r="J41" s="19">
        <v>0.90955461997105147</v>
      </c>
      <c r="K41" s="19">
        <v>5.3616653461801604E-2</v>
      </c>
      <c r="L41" s="19">
        <v>0.92004174357860691</v>
      </c>
      <c r="M41" s="19">
        <v>0.96470723620678556</v>
      </c>
      <c r="N41" s="19">
        <v>2.6375501105053302E-2</v>
      </c>
      <c r="O41" s="19">
        <v>0.99654953665206458</v>
      </c>
      <c r="P41" s="19">
        <v>5.1258035087415974E-3</v>
      </c>
    </row>
    <row r="42" spans="2:16" x14ac:dyDescent="0.2">
      <c r="B42" t="s">
        <v>591</v>
      </c>
      <c r="C42" t="s">
        <v>400</v>
      </c>
      <c r="D42" s="18">
        <v>42172</v>
      </c>
      <c r="E42" t="s">
        <v>164</v>
      </c>
      <c r="F42" s="19">
        <v>0.96302538523158265</v>
      </c>
      <c r="G42" s="19">
        <v>0.893779941749687</v>
      </c>
      <c r="H42" s="19">
        <v>0.92586683539381009</v>
      </c>
      <c r="I42" s="19">
        <v>3.6957147357049323E-2</v>
      </c>
      <c r="J42" s="19">
        <v>0.89560598917157042</v>
      </c>
      <c r="K42" s="19">
        <v>4.1605776699392368E-2</v>
      </c>
      <c r="L42" s="19"/>
      <c r="M42" s="19"/>
      <c r="N42" s="19"/>
      <c r="O42" s="19"/>
      <c r="P42" s="19"/>
    </row>
    <row r="43" spans="2:16" x14ac:dyDescent="0.2">
      <c r="B43" t="s">
        <v>597</v>
      </c>
      <c r="C43" t="s">
        <v>400</v>
      </c>
      <c r="D43" s="18">
        <v>42172</v>
      </c>
      <c r="E43" t="s">
        <v>167</v>
      </c>
      <c r="F43" s="19">
        <v>0.99239147648636705</v>
      </c>
      <c r="G43" s="19">
        <v>0.9765904000968465</v>
      </c>
      <c r="H43" s="19">
        <v>0.92676736068967358</v>
      </c>
      <c r="I43" s="19">
        <v>3.4350593440282184E-2</v>
      </c>
      <c r="J43" s="19">
        <v>0.87294754314692757</v>
      </c>
      <c r="K43" s="19">
        <v>6.5492544141974557E-2</v>
      </c>
      <c r="L43" s="19">
        <v>1</v>
      </c>
      <c r="M43" s="19">
        <v>0.99185396206751464</v>
      </c>
      <c r="N43" s="19">
        <v>9.7579621915807029E-3</v>
      </c>
      <c r="O43" s="19">
        <v>0.98049425229308584</v>
      </c>
      <c r="P43" s="19">
        <v>2.3698938642957044E-2</v>
      </c>
    </row>
    <row r="44" spans="2:16" x14ac:dyDescent="0.2">
      <c r="B44" t="s">
        <v>501</v>
      </c>
      <c r="C44" t="s">
        <v>400</v>
      </c>
      <c r="D44" s="18">
        <v>42172</v>
      </c>
      <c r="E44" t="s">
        <v>167</v>
      </c>
      <c r="F44" s="19">
        <v>0.99239147648636705</v>
      </c>
      <c r="G44" s="19">
        <v>0.9765904000968465</v>
      </c>
      <c r="H44" s="19">
        <v>0.92676736068967358</v>
      </c>
      <c r="I44" s="19">
        <v>3.4350593440282184E-2</v>
      </c>
      <c r="J44" s="19">
        <v>0.87294754314692757</v>
      </c>
      <c r="K44" s="19">
        <v>6.5492544141974557E-2</v>
      </c>
      <c r="L44" s="19">
        <v>1</v>
      </c>
      <c r="M44" s="19">
        <v>0.99185396206751464</v>
      </c>
      <c r="N44" s="19">
        <v>9.7579621915807029E-3</v>
      </c>
      <c r="O44" s="19">
        <v>0.98049425229308584</v>
      </c>
      <c r="P44" s="19">
        <v>2.3698938642957044E-2</v>
      </c>
    </row>
    <row r="45" spans="2:16" x14ac:dyDescent="0.2">
      <c r="B45" t="s">
        <v>605</v>
      </c>
      <c r="C45" t="s">
        <v>395</v>
      </c>
      <c r="D45" s="18">
        <v>42172</v>
      </c>
      <c r="E45" t="s">
        <v>170</v>
      </c>
      <c r="F45" s="19">
        <v>0.99490722785817831</v>
      </c>
      <c r="G45" s="19">
        <v>1</v>
      </c>
      <c r="H45" s="19">
        <v>0.88781454823299877</v>
      </c>
      <c r="I45" s="19">
        <v>3.9833610010014266E-2</v>
      </c>
      <c r="J45" s="19">
        <v>0.92666335168058311</v>
      </c>
      <c r="K45" s="19">
        <v>4.0073296388496257E-2</v>
      </c>
      <c r="L45" s="19"/>
      <c r="M45" s="19"/>
      <c r="N45" s="19"/>
      <c r="O45" s="19"/>
      <c r="P45" s="19"/>
    </row>
    <row r="46" spans="2:16" x14ac:dyDescent="0.2">
      <c r="B46" t="s">
        <v>618</v>
      </c>
      <c r="C46" t="s">
        <v>414</v>
      </c>
      <c r="D46" s="18">
        <v>42172</v>
      </c>
      <c r="E46" t="s">
        <v>175</v>
      </c>
      <c r="F46" s="19">
        <v>0.96993718993555855</v>
      </c>
      <c r="G46" s="19">
        <v>0.89218085106382972</v>
      </c>
      <c r="H46" s="19">
        <v>0.93126733582104448</v>
      </c>
      <c r="I46" s="19">
        <v>3.9580739516554359E-2</v>
      </c>
      <c r="J46" s="19">
        <v>0.96015848430645623</v>
      </c>
      <c r="K46" s="19">
        <v>3.0800166853592471E-2</v>
      </c>
      <c r="L46" s="19"/>
      <c r="M46" s="19"/>
      <c r="N46" s="19"/>
      <c r="O46" s="19"/>
      <c r="P46" s="19"/>
    </row>
    <row r="47" spans="2:16" x14ac:dyDescent="0.2">
      <c r="B47" t="s">
        <v>628</v>
      </c>
      <c r="C47" t="s">
        <v>414</v>
      </c>
      <c r="D47" s="18">
        <v>42172</v>
      </c>
      <c r="E47" t="s">
        <v>180</v>
      </c>
      <c r="F47" s="19">
        <v>0.95799603265605637</v>
      </c>
      <c r="G47" s="19">
        <v>0.87328093399521978</v>
      </c>
      <c r="H47" s="19">
        <v>0.90147063163805929</v>
      </c>
      <c r="I47" s="19">
        <v>4.3363926700426207E-2</v>
      </c>
      <c r="J47" s="19">
        <v>0.92670929151120163</v>
      </c>
      <c r="K47" s="19">
        <v>3.5438409030601151E-2</v>
      </c>
      <c r="L47" s="19"/>
      <c r="M47" s="19"/>
      <c r="N47" s="19"/>
      <c r="O47" s="19"/>
      <c r="P47" s="19"/>
    </row>
    <row r="48" spans="2:16" x14ac:dyDescent="0.2">
      <c r="B48" t="s">
        <v>650</v>
      </c>
      <c r="C48" t="s">
        <v>400</v>
      </c>
      <c r="D48" s="18">
        <v>42172</v>
      </c>
      <c r="E48" t="s">
        <v>189</v>
      </c>
      <c r="F48" s="19">
        <v>0.98146019783325467</v>
      </c>
      <c r="G48" s="19">
        <v>0.96933433059087504</v>
      </c>
      <c r="H48" s="19">
        <v>0.96759610821072617</v>
      </c>
      <c r="I48" s="19">
        <v>2.5018829254954227E-2</v>
      </c>
      <c r="J48" s="19">
        <v>0.9538365043059881</v>
      </c>
      <c r="K48" s="19">
        <v>3.3232133754960883E-2</v>
      </c>
      <c r="L48" s="19"/>
      <c r="M48" s="19"/>
      <c r="N48" s="19"/>
      <c r="O48" s="19"/>
      <c r="P48" s="19"/>
    </row>
    <row r="49" spans="2:16" x14ac:dyDescent="0.2">
      <c r="B49" t="s">
        <v>531</v>
      </c>
      <c r="C49" t="s">
        <v>379</v>
      </c>
      <c r="D49" s="18">
        <v>42172</v>
      </c>
      <c r="E49" t="s">
        <v>143</v>
      </c>
      <c r="F49" s="19">
        <v>0.95877532475481553</v>
      </c>
      <c r="G49" s="19">
        <v>0.74662914896060639</v>
      </c>
      <c r="H49" s="19">
        <v>0.87104958417637723</v>
      </c>
      <c r="I49" s="19">
        <v>5.4077870587640506E-2</v>
      </c>
      <c r="J49" s="19">
        <v>0.94176371022342575</v>
      </c>
      <c r="K49" s="19">
        <v>3.2726725697578306E-2</v>
      </c>
      <c r="L49" s="19"/>
      <c r="M49" s="19"/>
      <c r="N49" s="19"/>
      <c r="O49" s="19"/>
      <c r="P49" s="19"/>
    </row>
    <row r="50" spans="2:16" x14ac:dyDescent="0.2">
      <c r="B50" t="s">
        <v>533</v>
      </c>
      <c r="C50" t="s">
        <v>379</v>
      </c>
      <c r="D50" s="18">
        <v>42172</v>
      </c>
      <c r="E50" t="s">
        <v>143</v>
      </c>
      <c r="F50" s="19">
        <v>0.95877532475481553</v>
      </c>
      <c r="G50" s="19">
        <v>0.74662914896060639</v>
      </c>
      <c r="H50" s="19">
        <v>0.87104958417637723</v>
      </c>
      <c r="I50" s="19">
        <v>5.4077870587640506E-2</v>
      </c>
      <c r="J50" s="19">
        <v>0.94176371022342575</v>
      </c>
      <c r="K50" s="19">
        <v>3.2726725697578306E-2</v>
      </c>
      <c r="L50" s="19"/>
      <c r="M50" s="19"/>
      <c r="N50" s="19"/>
      <c r="O50" s="19"/>
      <c r="P50" s="19"/>
    </row>
    <row r="51" spans="2:16" x14ac:dyDescent="0.2">
      <c r="B51" t="s">
        <v>537</v>
      </c>
      <c r="C51" t="s">
        <v>379</v>
      </c>
      <c r="D51" s="18">
        <v>42172</v>
      </c>
      <c r="E51" t="s">
        <v>145</v>
      </c>
      <c r="F51" s="19">
        <v>0.90460762202875344</v>
      </c>
      <c r="G51" s="19">
        <v>0.84031885306905862</v>
      </c>
      <c r="H51" s="19">
        <v>0.90570831544016039</v>
      </c>
      <c r="I51" s="19">
        <v>4.1002036623732113E-2</v>
      </c>
      <c r="J51" s="19">
        <v>0.87463737062674474</v>
      </c>
      <c r="K51" s="19">
        <v>4.3542756692518267E-2</v>
      </c>
      <c r="L51" s="19"/>
      <c r="M51" s="19"/>
      <c r="N51" s="19"/>
      <c r="O51" s="19"/>
      <c r="P51" s="19"/>
    </row>
    <row r="52" spans="2:16" x14ac:dyDescent="0.2">
      <c r="B52" t="s">
        <v>220</v>
      </c>
      <c r="C52" t="s">
        <v>400</v>
      </c>
      <c r="D52" s="18">
        <v>42172</v>
      </c>
      <c r="E52" t="s">
        <v>167</v>
      </c>
      <c r="F52" s="19">
        <v>0.99239147648636705</v>
      </c>
      <c r="G52" s="19">
        <v>0.9765904000968465</v>
      </c>
      <c r="H52" s="19">
        <v>0.92676736068967358</v>
      </c>
      <c r="I52" s="19">
        <v>3.4350593440282184E-2</v>
      </c>
      <c r="J52" s="19">
        <v>0.87294754314692757</v>
      </c>
      <c r="K52" s="19">
        <v>6.5492544141974557E-2</v>
      </c>
      <c r="L52" s="19">
        <v>1</v>
      </c>
      <c r="M52" s="19">
        <v>0.99185396206751464</v>
      </c>
      <c r="N52" s="19">
        <v>9.7579621915807029E-3</v>
      </c>
      <c r="O52" s="19">
        <v>0.98049425229308584</v>
      </c>
      <c r="P52" s="19">
        <v>2.3698938642957044E-2</v>
      </c>
    </row>
    <row r="53" spans="2:16" x14ac:dyDescent="0.2">
      <c r="B53" t="s">
        <v>616</v>
      </c>
      <c r="C53" t="s">
        <v>414</v>
      </c>
      <c r="D53" s="18">
        <v>42172</v>
      </c>
      <c r="E53" t="s">
        <v>174</v>
      </c>
      <c r="F53" s="19">
        <v>0.98687181680314295</v>
      </c>
      <c r="G53" s="19">
        <v>0.90453342218766797</v>
      </c>
      <c r="H53" s="19">
        <v>0.90503444791288412</v>
      </c>
      <c r="I53" s="19">
        <v>3.9128746633845496E-2</v>
      </c>
      <c r="J53" s="19">
        <v>0.93200818304915023</v>
      </c>
      <c r="K53" s="19">
        <v>4.1069770551507859E-2</v>
      </c>
      <c r="L53" s="257"/>
      <c r="M53" s="257"/>
      <c r="N53" s="257"/>
      <c r="O53" s="257"/>
      <c r="P53" s="257"/>
    </row>
    <row r="54" spans="2:16" x14ac:dyDescent="0.2">
      <c r="B54" t="s">
        <v>620</v>
      </c>
      <c r="C54" t="s">
        <v>414</v>
      </c>
      <c r="D54" s="18">
        <v>42172</v>
      </c>
      <c r="E54" t="s">
        <v>176</v>
      </c>
      <c r="F54" s="19">
        <v>0.95999475542969459</v>
      </c>
      <c r="G54" s="19">
        <v>0.94218877391031663</v>
      </c>
      <c r="H54" s="19">
        <v>0.95737238361413501</v>
      </c>
      <c r="I54" s="19">
        <v>2.935521073441592E-2</v>
      </c>
      <c r="J54" s="19">
        <v>0.95900204867596162</v>
      </c>
      <c r="K54" s="19">
        <v>3.047604951320004E-2</v>
      </c>
      <c r="L54" s="19"/>
      <c r="M54" s="19"/>
      <c r="N54" s="19"/>
      <c r="O54" s="19"/>
      <c r="P54" s="19"/>
    </row>
    <row r="55" spans="2:16" x14ac:dyDescent="0.2">
      <c r="B55" t="s">
        <v>586</v>
      </c>
      <c r="C55" t="s">
        <v>400</v>
      </c>
      <c r="D55" s="18">
        <v>42172</v>
      </c>
      <c r="E55" t="s">
        <v>162</v>
      </c>
      <c r="F55" s="19">
        <v>0.93900624681512213</v>
      </c>
      <c r="G55" s="19">
        <v>0.83530608588831445</v>
      </c>
      <c r="H55" s="19">
        <v>0.88709976887597519</v>
      </c>
      <c r="I55" s="19">
        <v>4.3349847339170466E-2</v>
      </c>
      <c r="J55" s="19">
        <v>0.91730607307707634</v>
      </c>
      <c r="K55" s="19">
        <v>3.7168850337201749E-2</v>
      </c>
      <c r="L55" s="19"/>
      <c r="M55" s="19"/>
      <c r="N55" s="19"/>
      <c r="O55" s="19"/>
      <c r="P55" s="19"/>
    </row>
    <row r="56" spans="2:16" x14ac:dyDescent="0.2">
      <c r="B56" t="s">
        <v>612</v>
      </c>
      <c r="C56" t="s">
        <v>414</v>
      </c>
      <c r="D56" s="18">
        <v>42172</v>
      </c>
      <c r="E56" t="s">
        <v>173</v>
      </c>
      <c r="F56" s="19">
        <v>0.90530787451486272</v>
      </c>
      <c r="G56" s="19">
        <v>0.89226058985389289</v>
      </c>
      <c r="H56" s="19">
        <v>0.93261029633495629</v>
      </c>
      <c r="I56" s="19">
        <v>3.8455608289039704E-2</v>
      </c>
      <c r="J56" s="19">
        <v>0.91702083026995884</v>
      </c>
      <c r="K56" s="19">
        <v>3.9742855967041212E-2</v>
      </c>
      <c r="L56" s="19"/>
      <c r="M56" s="19"/>
      <c r="N56" s="19"/>
      <c r="O56" s="19"/>
      <c r="P56" s="19"/>
    </row>
    <row r="57" spans="2:16" x14ac:dyDescent="0.2">
      <c r="B57" t="s">
        <v>624</v>
      </c>
      <c r="C57" t="s">
        <v>395</v>
      </c>
      <c r="D57" s="18">
        <v>42172</v>
      </c>
      <c r="E57" t="s">
        <v>178</v>
      </c>
      <c r="F57" s="19">
        <v>0.95133728404352036</v>
      </c>
      <c r="G57" s="19">
        <v>0.88203681311299209</v>
      </c>
      <c r="H57" s="19">
        <v>0.89957126455217162</v>
      </c>
      <c r="I57" s="19">
        <v>4.5719968861485681E-2</v>
      </c>
      <c r="J57" s="19">
        <v>0.94167017730178937</v>
      </c>
      <c r="K57" s="19">
        <v>3.7650625372654574E-2</v>
      </c>
      <c r="L57" s="19"/>
      <c r="M57" s="19"/>
      <c r="N57" s="19"/>
      <c r="O57" s="19"/>
      <c r="P57" s="19"/>
    </row>
    <row r="58" spans="2:16" x14ac:dyDescent="0.2">
      <c r="B58" t="s">
        <v>636</v>
      </c>
      <c r="C58" t="s">
        <v>395</v>
      </c>
      <c r="D58" s="18">
        <v>42172</v>
      </c>
      <c r="E58" t="s">
        <v>183</v>
      </c>
      <c r="F58" s="19">
        <v>0.91901477555298416</v>
      </c>
      <c r="G58" s="19">
        <v>0.86427381064679443</v>
      </c>
      <c r="H58" s="19">
        <v>0.88823518996922146</v>
      </c>
      <c r="I58" s="19">
        <v>4.1580440129110767E-2</v>
      </c>
      <c r="J58" s="19">
        <v>0.91501734146003633</v>
      </c>
      <c r="K58" s="19">
        <v>3.848129534101169E-2</v>
      </c>
      <c r="L58" s="19"/>
      <c r="M58" s="19"/>
      <c r="N58" s="19"/>
      <c r="O58" s="19"/>
      <c r="P58" s="19"/>
    </row>
    <row r="59" spans="2:16" x14ac:dyDescent="0.2">
      <c r="B59" t="s">
        <v>639</v>
      </c>
      <c r="C59" t="s">
        <v>379</v>
      </c>
      <c r="D59" s="18">
        <v>42172</v>
      </c>
      <c r="E59" t="s">
        <v>184</v>
      </c>
      <c r="F59" s="19">
        <v>0.94562122567128137</v>
      </c>
      <c r="G59" s="19">
        <v>0.88989076184198135</v>
      </c>
      <c r="H59" s="19">
        <v>0.90027656773516762</v>
      </c>
      <c r="I59" s="19">
        <v>4.3131920360894679E-2</v>
      </c>
      <c r="J59" s="19">
        <v>0.93063214403375671</v>
      </c>
      <c r="K59" s="19">
        <v>2.9201016572666133E-2</v>
      </c>
      <c r="L59" s="19"/>
      <c r="M59" s="19"/>
      <c r="N59" s="19"/>
      <c r="O59" s="19"/>
      <c r="P59" s="19"/>
    </row>
    <row r="60" spans="2:16" x14ac:dyDescent="0.2">
      <c r="B60" t="s">
        <v>641</v>
      </c>
      <c r="C60" t="s">
        <v>414</v>
      </c>
      <c r="D60" s="18">
        <v>42172</v>
      </c>
      <c r="E60" t="s">
        <v>185</v>
      </c>
      <c r="F60" s="19">
        <v>0.97845686168331547</v>
      </c>
      <c r="G60" s="19">
        <v>0.93901899060477589</v>
      </c>
      <c r="H60" s="19">
        <v>0.87081876952715032</v>
      </c>
      <c r="I60" s="19">
        <v>4.2728353780138943E-2</v>
      </c>
      <c r="J60" s="19">
        <v>0.94065600878825717</v>
      </c>
      <c r="K60" s="19">
        <v>3.0949816570412309E-2</v>
      </c>
      <c r="L60" s="19"/>
      <c r="M60" s="19"/>
      <c r="N60" s="19"/>
      <c r="O60" s="19"/>
      <c r="P60" s="19"/>
    </row>
    <row r="61" spans="2:16" x14ac:dyDescent="0.2">
      <c r="B61" t="s">
        <v>978</v>
      </c>
      <c r="C61" t="s">
        <v>414</v>
      </c>
      <c r="D61" s="18">
        <v>42172</v>
      </c>
      <c r="E61" t="s">
        <v>185</v>
      </c>
      <c r="F61" s="19">
        <v>0.97845686168331547</v>
      </c>
      <c r="G61" s="19">
        <v>0.93901899060477589</v>
      </c>
      <c r="H61" s="19">
        <v>0.87081876952715032</v>
      </c>
      <c r="I61" s="19">
        <v>4.2728353780138943E-2</v>
      </c>
      <c r="J61" s="19">
        <v>0.94065600878825717</v>
      </c>
      <c r="K61" s="19">
        <v>3.0949816570412309E-2</v>
      </c>
      <c r="L61" s="19"/>
      <c r="M61" s="19"/>
      <c r="N61" s="19"/>
      <c r="O61" s="19"/>
      <c r="P61" s="19"/>
    </row>
    <row r="62" spans="2:16" x14ac:dyDescent="0.2">
      <c r="B62" t="s">
        <v>646</v>
      </c>
      <c r="C62" t="s">
        <v>379</v>
      </c>
      <c r="D62" s="18">
        <v>42172</v>
      </c>
      <c r="E62" t="s">
        <v>92</v>
      </c>
      <c r="F62" s="19">
        <v>0.90407738295156836</v>
      </c>
      <c r="G62" s="19">
        <v>0.78799392097264431</v>
      </c>
      <c r="H62" s="19">
        <v>0.83558366623763303</v>
      </c>
      <c r="I62" s="19">
        <v>5.0315883255151878E-2</v>
      </c>
      <c r="J62" s="19">
        <v>0.86957951296460589</v>
      </c>
      <c r="K62" s="19">
        <v>3.6472295560088103E-2</v>
      </c>
      <c r="L62" s="19"/>
      <c r="M62" s="19"/>
      <c r="N62" s="19"/>
      <c r="O62" s="19"/>
      <c r="P62" s="19"/>
    </row>
    <row r="63" spans="2:16" x14ac:dyDescent="0.2">
      <c r="B63" t="s">
        <v>648</v>
      </c>
      <c r="C63" t="s">
        <v>395</v>
      </c>
      <c r="D63" s="18">
        <v>42172</v>
      </c>
      <c r="E63" t="s">
        <v>188</v>
      </c>
      <c r="F63" s="19">
        <v>1</v>
      </c>
      <c r="G63" s="19">
        <v>1</v>
      </c>
      <c r="H63" s="19">
        <v>0.94357026346952955</v>
      </c>
      <c r="I63" s="19">
        <v>3.3993479733984561E-2</v>
      </c>
      <c r="J63" s="19">
        <v>0.96023580391681163</v>
      </c>
      <c r="K63" s="19">
        <v>2.8338980003874567E-2</v>
      </c>
      <c r="L63" s="19"/>
      <c r="M63" s="19"/>
      <c r="N63" s="19"/>
      <c r="O63" s="19"/>
      <c r="P63" s="19"/>
    </row>
    <row r="64" spans="2:16" x14ac:dyDescent="0.2">
      <c r="B64" t="s">
        <v>652</v>
      </c>
      <c r="C64" t="s">
        <v>400</v>
      </c>
      <c r="D64" s="18">
        <v>42172</v>
      </c>
      <c r="E64" t="s">
        <v>190</v>
      </c>
      <c r="F64" s="19">
        <v>0.97897857431612989</v>
      </c>
      <c r="G64" s="19">
        <v>0.96822810590631359</v>
      </c>
      <c r="H64" s="19">
        <v>0.96501787461892674</v>
      </c>
      <c r="I64" s="19">
        <v>2.5593474531166577E-2</v>
      </c>
      <c r="J64" s="19">
        <v>0.95195911161551683</v>
      </c>
      <c r="K64" s="19">
        <v>3.3378926350499043E-2</v>
      </c>
      <c r="L64" s="19"/>
      <c r="M64" s="19"/>
      <c r="N64" s="19"/>
      <c r="O64" s="19"/>
      <c r="P64" s="19"/>
    </row>
    <row r="65" spans="2:16" x14ac:dyDescent="0.2">
      <c r="B65" t="s">
        <v>658</v>
      </c>
      <c r="C65" t="s">
        <v>414</v>
      </c>
      <c r="D65" s="18">
        <v>42172</v>
      </c>
      <c r="E65" t="s">
        <v>192</v>
      </c>
      <c r="F65" s="19">
        <v>0.96745566331094623</v>
      </c>
      <c r="G65" s="19">
        <v>0.86463993397069938</v>
      </c>
      <c r="H65" s="19">
        <v>0.90382762053172394</v>
      </c>
      <c r="I65" s="19">
        <v>4.0548060049353796E-2</v>
      </c>
      <c r="J65" s="19">
        <v>0.94360210308255144</v>
      </c>
      <c r="K65" s="19">
        <v>3.404369958661782E-2</v>
      </c>
      <c r="L65" s="19"/>
      <c r="M65" s="19"/>
      <c r="N65" s="19"/>
      <c r="O65" s="19"/>
      <c r="P65" s="19"/>
    </row>
    <row r="66" spans="2:16" x14ac:dyDescent="0.2">
      <c r="B66" t="s">
        <v>554</v>
      </c>
      <c r="C66" t="s">
        <v>379</v>
      </c>
      <c r="D66" s="18">
        <v>42172</v>
      </c>
      <c r="E66" t="s">
        <v>150</v>
      </c>
      <c r="F66" s="19">
        <v>0.88047528089071614</v>
      </c>
      <c r="G66" s="19">
        <v>0.85989691242609534</v>
      </c>
      <c r="H66" s="19">
        <v>0.91264354378571755</v>
      </c>
      <c r="I66" s="19">
        <v>3.9663167617869491E-2</v>
      </c>
      <c r="J66" s="19">
        <v>0.93151672050268219</v>
      </c>
      <c r="K66" s="19">
        <v>3.8916220579615697E-2</v>
      </c>
      <c r="L66" s="19"/>
      <c r="M66" s="19"/>
      <c r="N66" s="19"/>
      <c r="O66" s="19"/>
      <c r="P66" s="19"/>
    </row>
    <row r="67" spans="2:16" x14ac:dyDescent="0.2">
      <c r="B67" t="s">
        <v>560</v>
      </c>
      <c r="C67" t="s">
        <v>379</v>
      </c>
      <c r="D67" s="18">
        <v>42172</v>
      </c>
      <c r="E67" t="s">
        <v>153</v>
      </c>
      <c r="F67" s="19">
        <v>0.95892118819625649</v>
      </c>
      <c r="G67" s="19">
        <v>0.79939185656733402</v>
      </c>
      <c r="H67" s="19">
        <v>0.83629756840852632</v>
      </c>
      <c r="I67" s="19">
        <v>5.0583679595135961E-2</v>
      </c>
      <c r="J67" s="19">
        <v>0.93371976313245308</v>
      </c>
      <c r="K67" s="19">
        <v>3.0014731871330795E-2</v>
      </c>
      <c r="L67" s="19"/>
      <c r="M67" s="19"/>
      <c r="N67" s="19"/>
      <c r="O67" s="19"/>
      <c r="P67" s="19"/>
    </row>
    <row r="68" spans="2:16" x14ac:dyDescent="0.2">
      <c r="B68" t="s">
        <v>566</v>
      </c>
      <c r="C68" t="s">
        <v>390</v>
      </c>
      <c r="D68" s="18">
        <v>42172</v>
      </c>
      <c r="E68" t="s">
        <v>94</v>
      </c>
      <c r="F68" s="19">
        <v>0.98439964484677178</v>
      </c>
      <c r="G68" s="19">
        <v>0.97266445066480056</v>
      </c>
      <c r="H68" s="19">
        <v>0.91363053832734675</v>
      </c>
      <c r="I68" s="19">
        <v>3.8005544286215172E-2</v>
      </c>
      <c r="J68" s="19">
        <v>0.96514766758427062</v>
      </c>
      <c r="K68" s="19">
        <v>2.6457519552308427E-2</v>
      </c>
      <c r="L68" s="19"/>
      <c r="M68" s="19"/>
      <c r="N68" s="19"/>
      <c r="O68" s="19"/>
      <c r="P68" s="19"/>
    </row>
    <row r="69" spans="2:16" x14ac:dyDescent="0.2">
      <c r="B69" t="s">
        <v>574</v>
      </c>
      <c r="C69" t="s">
        <v>395</v>
      </c>
      <c r="D69" s="18">
        <v>42172</v>
      </c>
      <c r="E69" t="s">
        <v>157</v>
      </c>
      <c r="F69" s="19">
        <v>0.98301274092926538</v>
      </c>
      <c r="G69" s="19">
        <v>0.93906909575649844</v>
      </c>
      <c r="H69" s="19">
        <v>0.93007278804742755</v>
      </c>
      <c r="I69" s="19">
        <v>3.2014453398777218E-2</v>
      </c>
      <c r="J69" s="19">
        <v>0.85144373541626239</v>
      </c>
      <c r="K69" s="19">
        <v>5.9488292074374415E-2</v>
      </c>
      <c r="L69" s="19"/>
      <c r="M69" s="19"/>
      <c r="N69" s="19"/>
      <c r="O69" s="19"/>
      <c r="P69" s="19"/>
    </row>
    <row r="70" spans="2:16" x14ac:dyDescent="0.2">
      <c r="B70" t="s">
        <v>578</v>
      </c>
      <c r="C70" t="s">
        <v>400</v>
      </c>
      <c r="D70" s="18">
        <v>42172</v>
      </c>
      <c r="E70" t="s">
        <v>159</v>
      </c>
      <c r="F70" s="19">
        <v>0.9606147338592288</v>
      </c>
      <c r="G70" s="19">
        <v>0.88733559434196363</v>
      </c>
      <c r="H70" s="19">
        <v>0.92811139176220148</v>
      </c>
      <c r="I70" s="19">
        <v>3.4391547927238336E-2</v>
      </c>
      <c r="J70" s="19">
        <v>0.90957460069352725</v>
      </c>
      <c r="K70" s="19">
        <v>4.9850923980669176E-2</v>
      </c>
      <c r="L70" s="19"/>
      <c r="M70" s="19"/>
      <c r="N70" s="19"/>
      <c r="O70" s="19"/>
      <c r="P70" s="19"/>
    </row>
    <row r="71" spans="2:16" x14ac:dyDescent="0.2">
      <c r="B71" t="s">
        <v>632</v>
      </c>
      <c r="C71" t="s">
        <v>414</v>
      </c>
      <c r="D71" s="18">
        <v>42172</v>
      </c>
      <c r="E71" t="s">
        <v>182</v>
      </c>
      <c r="F71" s="19">
        <v>0.988268665338498</v>
      </c>
      <c r="G71" s="19">
        <v>0.93666533386645345</v>
      </c>
      <c r="H71" s="19">
        <v>0.9522613727115703</v>
      </c>
      <c r="I71" s="19">
        <v>3.3432657648602059E-2</v>
      </c>
      <c r="J71" s="19">
        <v>0.95200346247162249</v>
      </c>
      <c r="K71" s="19">
        <v>2.9247757220740526E-2</v>
      </c>
      <c r="L71" s="19"/>
      <c r="M71" s="19"/>
      <c r="N71" s="19"/>
      <c r="O71" s="19"/>
      <c r="P71" s="19"/>
    </row>
    <row r="72" spans="2:16" x14ac:dyDescent="0.2">
      <c r="B72" t="s">
        <v>687</v>
      </c>
      <c r="C72" t="s">
        <v>379</v>
      </c>
      <c r="D72" s="18">
        <v>42172</v>
      </c>
      <c r="E72" t="s">
        <v>686</v>
      </c>
      <c r="F72" s="19">
        <v>0.99432190434592704</v>
      </c>
      <c r="G72" s="19">
        <v>0.94871794871794857</v>
      </c>
      <c r="H72" s="19">
        <v>0.94871794871794857</v>
      </c>
      <c r="I72" s="19">
        <v>5.9216411741924942E-2</v>
      </c>
      <c r="J72" s="19">
        <v>0.79321910511109228</v>
      </c>
      <c r="K72" s="19">
        <v>3.3511110723036169E-2</v>
      </c>
      <c r="L72" s="19"/>
      <c r="M72" s="19"/>
      <c r="N72" s="19"/>
      <c r="O72" s="19"/>
      <c r="P72" s="19"/>
    </row>
    <row r="73" spans="2:16" x14ac:dyDescent="0.2">
      <c r="B73" t="s">
        <v>654</v>
      </c>
      <c r="C73" t="s">
        <v>395</v>
      </c>
      <c r="D73" s="18">
        <v>42172</v>
      </c>
      <c r="E73" t="s">
        <v>690</v>
      </c>
      <c r="F73" s="19">
        <v>0.9523782705775562</v>
      </c>
      <c r="G73" s="19">
        <v>0.82622155287817933</v>
      </c>
      <c r="H73" s="19">
        <v>0.88054542555678983</v>
      </c>
      <c r="I73" s="19">
        <v>4.8733493447432608E-2</v>
      </c>
      <c r="J73" s="19">
        <v>0.93388679123503404</v>
      </c>
      <c r="K73" s="19">
        <v>4.2867240511050821E-2</v>
      </c>
      <c r="L73" s="19"/>
      <c r="M73" s="19"/>
      <c r="N73" s="19"/>
      <c r="O73" s="19"/>
      <c r="P73" s="19"/>
    </row>
    <row r="74" spans="2:16" x14ac:dyDescent="0.2">
      <c r="B74" t="s">
        <v>656</v>
      </c>
      <c r="C74" t="s">
        <v>400</v>
      </c>
      <c r="D74" s="18">
        <v>42172</v>
      </c>
      <c r="E74" t="s">
        <v>191</v>
      </c>
      <c r="F74" s="155">
        <v>0.95962618057635463</v>
      </c>
      <c r="G74" s="155">
        <v>0.88461337513061655</v>
      </c>
      <c r="H74" s="155">
        <v>0.93531052302914053</v>
      </c>
      <c r="I74" s="155">
        <v>3.468448204925359E-2</v>
      </c>
      <c r="J74" s="155">
        <v>0.95461560778867482</v>
      </c>
      <c r="K74" s="155">
        <v>3.3752083491129452E-2</v>
      </c>
      <c r="L74" s="155"/>
      <c r="M74" s="155"/>
      <c r="N74" s="155"/>
      <c r="O74" s="155"/>
      <c r="P74" s="155"/>
    </row>
  </sheetData>
  <sheetProtection autoFilter="0"/>
  <conditionalFormatting sqref="B3:B74">
    <cfRule type="duplicateValues" dxfId="17"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695</v>
      </c>
    </row>
    <row r="2" spans="1:18" x14ac:dyDescent="0.2">
      <c r="A2">
        <v>1</v>
      </c>
      <c r="B2">
        <v>-99</v>
      </c>
      <c r="C2" t="s">
        <v>447</v>
      </c>
      <c r="D2" t="s">
        <v>6</v>
      </c>
      <c r="E2" t="s">
        <v>447</v>
      </c>
      <c r="F2" t="s">
        <v>518</v>
      </c>
      <c r="G2" t="s">
        <v>447</v>
      </c>
      <c r="H2" t="s">
        <v>6</v>
      </c>
      <c r="I2">
        <v>-99</v>
      </c>
      <c r="J2">
        <v>1</v>
      </c>
      <c r="K2" t="s">
        <v>6</v>
      </c>
      <c r="L2">
        <v>-99</v>
      </c>
      <c r="M2" t="s">
        <v>671</v>
      </c>
      <c r="N2" t="s">
        <v>671</v>
      </c>
      <c r="O2">
        <v>-99</v>
      </c>
      <c r="P2">
        <v>-99</v>
      </c>
      <c r="Q2">
        <v>1</v>
      </c>
      <c r="R2" t="s">
        <v>671</v>
      </c>
    </row>
    <row r="3" spans="1:18" x14ac:dyDescent="0.2">
      <c r="A3">
        <v>2</v>
      </c>
      <c r="B3">
        <v>-99</v>
      </c>
      <c r="C3" t="s">
        <v>448</v>
      </c>
      <c r="D3" t="s">
        <v>6</v>
      </c>
      <c r="E3" t="s">
        <v>448</v>
      </c>
      <c r="F3" t="s">
        <v>471</v>
      </c>
      <c r="G3" t="s">
        <v>447</v>
      </c>
      <c r="H3" t="s">
        <v>6</v>
      </c>
      <c r="I3">
        <v>-99</v>
      </c>
      <c r="J3">
        <v>1</v>
      </c>
      <c r="K3" t="s">
        <v>6</v>
      </c>
      <c r="L3">
        <v>-99</v>
      </c>
      <c r="M3" t="s">
        <v>671</v>
      </c>
      <c r="N3" t="s">
        <v>671</v>
      </c>
      <c r="O3">
        <v>-99</v>
      </c>
      <c r="P3">
        <v>-99</v>
      </c>
      <c r="Q3">
        <v>1</v>
      </c>
      <c r="R3" t="s">
        <v>671</v>
      </c>
    </row>
    <row r="4" spans="1:18" x14ac:dyDescent="0.2">
      <c r="A4">
        <v>3</v>
      </c>
      <c r="B4">
        <v>-99</v>
      </c>
      <c r="C4" t="s">
        <v>672</v>
      </c>
      <c r="D4" t="s">
        <v>6</v>
      </c>
      <c r="E4" t="s">
        <v>672</v>
      </c>
      <c r="F4" t="s">
        <v>472</v>
      </c>
      <c r="G4" t="s">
        <v>447</v>
      </c>
      <c r="H4" t="s">
        <v>6</v>
      </c>
      <c r="I4">
        <v>-99</v>
      </c>
      <c r="J4">
        <v>1</v>
      </c>
      <c r="K4" t="s">
        <v>6</v>
      </c>
      <c r="L4">
        <v>-99</v>
      </c>
      <c r="M4" t="s">
        <v>671</v>
      </c>
      <c r="N4" t="s">
        <v>671</v>
      </c>
      <c r="O4">
        <v>-99</v>
      </c>
      <c r="P4">
        <v>-99</v>
      </c>
      <c r="Q4">
        <v>1</v>
      </c>
      <c r="R4" t="s">
        <v>216</v>
      </c>
    </row>
    <row r="5" spans="1:18" x14ac:dyDescent="0.2">
      <c r="A5">
        <v>4</v>
      </c>
      <c r="B5">
        <v>-99</v>
      </c>
      <c r="C5" t="s">
        <v>449</v>
      </c>
      <c r="D5" t="s">
        <v>6</v>
      </c>
      <c r="E5" t="s">
        <v>449</v>
      </c>
      <c r="F5" t="s">
        <v>519</v>
      </c>
      <c r="G5" t="s">
        <v>447</v>
      </c>
      <c r="H5" t="s">
        <v>6</v>
      </c>
      <c r="I5">
        <v>-99</v>
      </c>
      <c r="J5">
        <v>1</v>
      </c>
      <c r="K5" t="s">
        <v>6</v>
      </c>
      <c r="L5">
        <v>-99</v>
      </c>
      <c r="M5" t="s">
        <v>671</v>
      </c>
      <c r="N5" t="s">
        <v>671</v>
      </c>
      <c r="O5">
        <v>-99</v>
      </c>
      <c r="P5">
        <v>-99</v>
      </c>
      <c r="Q5">
        <v>1</v>
      </c>
      <c r="R5" t="s">
        <v>700</v>
      </c>
    </row>
    <row r="6" spans="1:18" x14ac:dyDescent="0.2">
      <c r="A6">
        <v>5</v>
      </c>
      <c r="B6">
        <v>-99</v>
      </c>
      <c r="C6" t="s">
        <v>450</v>
      </c>
      <c r="D6" t="s">
        <v>6</v>
      </c>
      <c r="E6" t="s">
        <v>450</v>
      </c>
      <c r="F6" t="s">
        <v>520</v>
      </c>
      <c r="G6" t="s">
        <v>447</v>
      </c>
      <c r="H6" t="s">
        <v>6</v>
      </c>
      <c r="I6">
        <v>-99</v>
      </c>
      <c r="J6">
        <v>1</v>
      </c>
      <c r="K6" t="s">
        <v>6</v>
      </c>
      <c r="L6">
        <v>-99</v>
      </c>
      <c r="M6" t="s">
        <v>671</v>
      </c>
      <c r="N6" t="s">
        <v>671</v>
      </c>
      <c r="O6">
        <v>-99</v>
      </c>
      <c r="P6">
        <v>-99</v>
      </c>
      <c r="Q6">
        <v>1</v>
      </c>
      <c r="R6" t="s">
        <v>696</v>
      </c>
    </row>
    <row r="7" spans="1:18" x14ac:dyDescent="0.2">
      <c r="A7">
        <v>6</v>
      </c>
      <c r="B7">
        <v>-99</v>
      </c>
      <c r="C7" t="s">
        <v>451</v>
      </c>
      <c r="D7" t="s">
        <v>6</v>
      </c>
      <c r="E7" t="s">
        <v>451</v>
      </c>
      <c r="F7" t="s">
        <v>980</v>
      </c>
      <c r="G7" t="s">
        <v>447</v>
      </c>
      <c r="H7" t="s">
        <v>6</v>
      </c>
      <c r="I7">
        <v>-99</v>
      </c>
      <c r="J7">
        <v>1</v>
      </c>
      <c r="K7" t="s">
        <v>6</v>
      </c>
      <c r="L7">
        <v>-99</v>
      </c>
      <c r="M7" t="s">
        <v>671</v>
      </c>
      <c r="N7" t="s">
        <v>671</v>
      </c>
      <c r="O7">
        <v>-99</v>
      </c>
      <c r="P7">
        <v>-99</v>
      </c>
      <c r="Q7">
        <v>1</v>
      </c>
      <c r="R7" t="s">
        <v>697</v>
      </c>
    </row>
    <row r="8" spans="1:18" x14ac:dyDescent="0.2">
      <c r="A8">
        <v>7</v>
      </c>
      <c r="B8">
        <v>-99</v>
      </c>
      <c r="C8" t="s">
        <v>452</v>
      </c>
      <c r="D8" t="s">
        <v>6</v>
      </c>
      <c r="E8" t="s">
        <v>452</v>
      </c>
      <c r="F8" t="s">
        <v>521</v>
      </c>
      <c r="G8" t="s">
        <v>447</v>
      </c>
      <c r="H8" t="s">
        <v>6</v>
      </c>
      <c r="I8">
        <v>-99</v>
      </c>
      <c r="J8">
        <v>1</v>
      </c>
      <c r="K8" t="s">
        <v>6</v>
      </c>
      <c r="L8">
        <v>-99</v>
      </c>
      <c r="M8" t="s">
        <v>671</v>
      </c>
      <c r="N8" t="s">
        <v>671</v>
      </c>
      <c r="O8">
        <v>-99</v>
      </c>
      <c r="P8">
        <v>-99</v>
      </c>
      <c r="Q8">
        <v>1</v>
      </c>
      <c r="R8" t="s">
        <v>698</v>
      </c>
    </row>
    <row r="9" spans="1:18" x14ac:dyDescent="0.2">
      <c r="A9">
        <v>8</v>
      </c>
      <c r="B9">
        <v>-99</v>
      </c>
      <c r="C9" t="s">
        <v>453</v>
      </c>
      <c r="D9" t="s">
        <v>6</v>
      </c>
      <c r="E9" t="s">
        <v>453</v>
      </c>
      <c r="F9" t="s">
        <v>522</v>
      </c>
      <c r="G9" t="s">
        <v>447</v>
      </c>
      <c r="H9" t="s">
        <v>6</v>
      </c>
      <c r="I9">
        <v>-99</v>
      </c>
      <c r="J9">
        <v>1</v>
      </c>
      <c r="K9" t="s">
        <v>6</v>
      </c>
      <c r="L9">
        <v>-99</v>
      </c>
      <c r="M9" t="s">
        <v>671</v>
      </c>
      <c r="N9" t="s">
        <v>671</v>
      </c>
      <c r="O9">
        <v>-99</v>
      </c>
      <c r="P9">
        <v>-99</v>
      </c>
      <c r="Q9">
        <v>1</v>
      </c>
      <c r="R9" t="s">
        <v>408</v>
      </c>
    </row>
    <row r="10" spans="1:18" x14ac:dyDescent="0.2">
      <c r="A10">
        <v>9</v>
      </c>
      <c r="B10">
        <v>-99</v>
      </c>
      <c r="C10" t="s">
        <v>454</v>
      </c>
      <c r="D10" t="s">
        <v>6</v>
      </c>
      <c r="E10" t="s">
        <v>454</v>
      </c>
      <c r="F10" t="s">
        <v>523</v>
      </c>
      <c r="G10" t="s">
        <v>447</v>
      </c>
      <c r="H10" t="s">
        <v>6</v>
      </c>
      <c r="I10">
        <v>-99</v>
      </c>
      <c r="J10">
        <v>1</v>
      </c>
      <c r="K10" t="s">
        <v>6</v>
      </c>
      <c r="L10">
        <v>-99</v>
      </c>
      <c r="M10" t="s">
        <v>671</v>
      </c>
      <c r="N10" t="s">
        <v>671</v>
      </c>
      <c r="O10">
        <v>-99</v>
      </c>
      <c r="P10">
        <v>-99</v>
      </c>
      <c r="Q10">
        <v>1</v>
      </c>
      <c r="R10" t="s">
        <v>701</v>
      </c>
    </row>
    <row r="11" spans="1:18" x14ac:dyDescent="0.2">
      <c r="A11">
        <v>10</v>
      </c>
      <c r="B11">
        <v>-99</v>
      </c>
      <c r="C11" t="s">
        <v>455</v>
      </c>
      <c r="D11" t="s">
        <v>6</v>
      </c>
      <c r="E11" t="s">
        <v>455</v>
      </c>
      <c r="F11" t="s">
        <v>524</v>
      </c>
      <c r="G11" t="s">
        <v>447</v>
      </c>
      <c r="H11" t="s">
        <v>6</v>
      </c>
      <c r="I11">
        <v>-99</v>
      </c>
      <c r="J11">
        <v>1</v>
      </c>
      <c r="K11" t="s">
        <v>6</v>
      </c>
      <c r="L11">
        <v>-99</v>
      </c>
      <c r="M11" t="s">
        <v>671</v>
      </c>
      <c r="N11" t="s">
        <v>671</v>
      </c>
      <c r="O11">
        <v>-99</v>
      </c>
      <c r="P11">
        <v>-99</v>
      </c>
      <c r="Q11">
        <v>1</v>
      </c>
      <c r="R11" t="s">
        <v>671</v>
      </c>
    </row>
    <row r="12" spans="1:18" x14ac:dyDescent="0.2">
      <c r="A12">
        <v>11</v>
      </c>
      <c r="B12">
        <v>-99</v>
      </c>
      <c r="C12" t="s">
        <v>457</v>
      </c>
      <c r="D12" t="s">
        <v>525</v>
      </c>
      <c r="E12" t="s">
        <v>673</v>
      </c>
      <c r="F12" t="s">
        <v>135</v>
      </c>
      <c r="G12" t="s">
        <v>673</v>
      </c>
      <c r="H12" t="s">
        <v>380</v>
      </c>
      <c r="I12">
        <v>-99</v>
      </c>
      <c r="J12">
        <v>-99</v>
      </c>
      <c r="K12" t="s">
        <v>671</v>
      </c>
      <c r="L12">
        <v>-99</v>
      </c>
      <c r="M12" t="s">
        <v>671</v>
      </c>
      <c r="N12" t="s">
        <v>671</v>
      </c>
      <c r="O12">
        <v>-99</v>
      </c>
      <c r="P12">
        <v>-99</v>
      </c>
      <c r="Q12">
        <v>2</v>
      </c>
      <c r="R12" t="s">
        <v>671</v>
      </c>
    </row>
    <row r="13" spans="1:18" x14ac:dyDescent="0.2">
      <c r="A13">
        <v>12</v>
      </c>
      <c r="B13">
        <v>-99</v>
      </c>
      <c r="C13" t="s">
        <v>459</v>
      </c>
      <c r="D13" t="s">
        <v>525</v>
      </c>
      <c r="E13" t="s">
        <v>674</v>
      </c>
      <c r="F13" t="s">
        <v>136</v>
      </c>
      <c r="G13" t="s">
        <v>674</v>
      </c>
      <c r="H13" t="s">
        <v>387</v>
      </c>
      <c r="I13">
        <v>-99</v>
      </c>
      <c r="J13">
        <v>-99</v>
      </c>
      <c r="K13" t="s">
        <v>671</v>
      </c>
      <c r="L13">
        <v>-99</v>
      </c>
      <c r="M13" t="s">
        <v>671</v>
      </c>
      <c r="N13" t="s">
        <v>671</v>
      </c>
      <c r="O13">
        <v>-99</v>
      </c>
      <c r="P13">
        <v>-99</v>
      </c>
      <c r="Q13">
        <v>2</v>
      </c>
      <c r="R13" t="s">
        <v>671</v>
      </c>
    </row>
    <row r="14" spans="1:18" x14ac:dyDescent="0.2">
      <c r="A14">
        <v>13</v>
      </c>
      <c r="B14">
        <v>-99</v>
      </c>
      <c r="C14" t="s">
        <v>462</v>
      </c>
      <c r="D14" t="s">
        <v>525</v>
      </c>
      <c r="E14" t="s">
        <v>675</v>
      </c>
      <c r="F14" t="s">
        <v>137</v>
      </c>
      <c r="G14" t="s">
        <v>675</v>
      </c>
      <c r="H14" t="s">
        <v>396</v>
      </c>
      <c r="I14">
        <v>-99</v>
      </c>
      <c r="J14">
        <v>-99</v>
      </c>
      <c r="K14" t="s">
        <v>671</v>
      </c>
      <c r="L14">
        <v>-99</v>
      </c>
      <c r="M14" t="s">
        <v>671</v>
      </c>
      <c r="N14" t="s">
        <v>671</v>
      </c>
      <c r="O14">
        <v>-99</v>
      </c>
      <c r="P14">
        <v>-99</v>
      </c>
      <c r="Q14">
        <v>2</v>
      </c>
      <c r="R14" t="s">
        <v>671</v>
      </c>
    </row>
    <row r="15" spans="1:18" x14ac:dyDescent="0.2">
      <c r="A15">
        <v>14</v>
      </c>
      <c r="B15">
        <v>-99</v>
      </c>
      <c r="C15" t="s">
        <v>676</v>
      </c>
      <c r="D15" t="s">
        <v>525</v>
      </c>
      <c r="E15" t="s">
        <v>677</v>
      </c>
      <c r="F15" t="s">
        <v>138</v>
      </c>
      <c r="G15" t="s">
        <v>677</v>
      </c>
      <c r="H15" t="s">
        <v>412</v>
      </c>
      <c r="I15">
        <v>-99</v>
      </c>
      <c r="J15">
        <v>-99</v>
      </c>
      <c r="K15" t="s">
        <v>671</v>
      </c>
      <c r="L15">
        <v>-99</v>
      </c>
      <c r="M15" t="s">
        <v>671</v>
      </c>
      <c r="N15" t="s">
        <v>671</v>
      </c>
      <c r="O15">
        <v>-99</v>
      </c>
      <c r="P15">
        <v>-99</v>
      </c>
      <c r="Q15">
        <v>2</v>
      </c>
      <c r="R15" t="s">
        <v>671</v>
      </c>
    </row>
    <row r="16" spans="1:18" x14ac:dyDescent="0.2">
      <c r="A16">
        <v>15</v>
      </c>
      <c r="B16">
        <v>-99</v>
      </c>
      <c r="C16" t="s">
        <v>678</v>
      </c>
      <c r="D16" t="s">
        <v>446</v>
      </c>
      <c r="E16" t="s">
        <v>679</v>
      </c>
      <c r="F16" t="s">
        <v>439</v>
      </c>
      <c r="G16" t="s">
        <v>671</v>
      </c>
      <c r="H16" t="s">
        <v>671</v>
      </c>
      <c r="I16">
        <v>-99</v>
      </c>
      <c r="J16">
        <v>30</v>
      </c>
      <c r="K16" t="s">
        <v>379</v>
      </c>
      <c r="L16">
        <v>-99</v>
      </c>
      <c r="M16" t="s">
        <v>671</v>
      </c>
      <c r="N16" t="s">
        <v>671</v>
      </c>
      <c r="O16">
        <v>-99</v>
      </c>
      <c r="P16">
        <v>-99</v>
      </c>
      <c r="Q16">
        <v>3</v>
      </c>
      <c r="R16" t="s">
        <v>671</v>
      </c>
    </row>
    <row r="17" spans="1:18" x14ac:dyDescent="0.2">
      <c r="A17">
        <v>16</v>
      </c>
      <c r="B17">
        <v>-99</v>
      </c>
      <c r="C17" t="s">
        <v>680</v>
      </c>
      <c r="D17" t="s">
        <v>446</v>
      </c>
      <c r="E17" t="s">
        <v>678</v>
      </c>
      <c r="F17" t="s">
        <v>445</v>
      </c>
      <c r="G17" t="s">
        <v>671</v>
      </c>
      <c r="H17" t="s">
        <v>671</v>
      </c>
      <c r="I17">
        <v>-99</v>
      </c>
      <c r="J17">
        <v>31</v>
      </c>
      <c r="K17" t="s">
        <v>390</v>
      </c>
      <c r="L17">
        <v>-99</v>
      </c>
      <c r="M17" t="s">
        <v>671</v>
      </c>
      <c r="N17" t="s">
        <v>671</v>
      </c>
      <c r="O17">
        <v>-99</v>
      </c>
      <c r="P17">
        <v>-99</v>
      </c>
      <c r="Q17">
        <v>3</v>
      </c>
      <c r="R17" t="s">
        <v>671</v>
      </c>
    </row>
    <row r="18" spans="1:18" x14ac:dyDescent="0.2">
      <c r="A18">
        <v>17</v>
      </c>
      <c r="B18">
        <v>-99</v>
      </c>
      <c r="C18" t="s">
        <v>681</v>
      </c>
      <c r="D18" t="s">
        <v>446</v>
      </c>
      <c r="E18" t="s">
        <v>680</v>
      </c>
      <c r="F18" t="s">
        <v>443</v>
      </c>
      <c r="G18" t="s">
        <v>671</v>
      </c>
      <c r="H18" t="s">
        <v>671</v>
      </c>
      <c r="I18">
        <v>-99</v>
      </c>
      <c r="J18">
        <v>32</v>
      </c>
      <c r="K18" t="s">
        <v>400</v>
      </c>
      <c r="L18">
        <v>-99</v>
      </c>
      <c r="M18" t="s">
        <v>671</v>
      </c>
      <c r="N18" t="s">
        <v>671</v>
      </c>
      <c r="O18">
        <v>-99</v>
      </c>
      <c r="P18">
        <v>-99</v>
      </c>
      <c r="Q18">
        <v>3</v>
      </c>
      <c r="R18" t="s">
        <v>671</v>
      </c>
    </row>
    <row r="19" spans="1:18" x14ac:dyDescent="0.2">
      <c r="A19">
        <v>18</v>
      </c>
      <c r="B19">
        <v>-99</v>
      </c>
      <c r="C19" t="s">
        <v>682</v>
      </c>
      <c r="D19" t="s">
        <v>446</v>
      </c>
      <c r="E19" t="s">
        <v>681</v>
      </c>
      <c r="F19" t="s">
        <v>442</v>
      </c>
      <c r="G19" t="s">
        <v>671</v>
      </c>
      <c r="H19" t="s">
        <v>671</v>
      </c>
      <c r="I19">
        <v>-99</v>
      </c>
      <c r="J19">
        <v>33</v>
      </c>
      <c r="K19" t="s">
        <v>395</v>
      </c>
      <c r="L19">
        <v>-99</v>
      </c>
      <c r="M19" t="s">
        <v>671</v>
      </c>
      <c r="N19" t="s">
        <v>671</v>
      </c>
      <c r="O19">
        <v>-99</v>
      </c>
      <c r="P19">
        <v>-99</v>
      </c>
      <c r="Q19">
        <v>3</v>
      </c>
      <c r="R19" t="s">
        <v>671</v>
      </c>
    </row>
    <row r="20" spans="1:18" x14ac:dyDescent="0.2">
      <c r="A20">
        <v>19</v>
      </c>
      <c r="B20">
        <v>-99</v>
      </c>
      <c r="C20" t="s">
        <v>683</v>
      </c>
      <c r="D20" t="s">
        <v>446</v>
      </c>
      <c r="E20" t="s">
        <v>682</v>
      </c>
      <c r="F20" t="s">
        <v>444</v>
      </c>
      <c r="G20" t="s">
        <v>671</v>
      </c>
      <c r="H20" t="s">
        <v>671</v>
      </c>
      <c r="I20">
        <v>-99</v>
      </c>
      <c r="J20">
        <v>34</v>
      </c>
      <c r="K20" t="s">
        <v>414</v>
      </c>
      <c r="L20">
        <v>-99</v>
      </c>
      <c r="M20" t="s">
        <v>671</v>
      </c>
      <c r="N20" t="s">
        <v>671</v>
      </c>
      <c r="O20">
        <v>-99</v>
      </c>
      <c r="P20">
        <v>-99</v>
      </c>
      <c r="Q20">
        <v>3</v>
      </c>
      <c r="R20" t="s">
        <v>671</v>
      </c>
    </row>
    <row r="21" spans="1:18" x14ac:dyDescent="0.2">
      <c r="A21">
        <v>20</v>
      </c>
      <c r="B21">
        <v>1</v>
      </c>
      <c r="C21" t="s">
        <v>684</v>
      </c>
      <c r="D21" t="s">
        <v>378</v>
      </c>
      <c r="E21" t="s">
        <v>684</v>
      </c>
      <c r="F21" t="s">
        <v>526</v>
      </c>
      <c r="G21" t="s">
        <v>685</v>
      </c>
      <c r="H21" t="s">
        <v>8</v>
      </c>
      <c r="I21">
        <v>-99</v>
      </c>
      <c r="J21">
        <v>35</v>
      </c>
      <c r="K21" t="s">
        <v>8</v>
      </c>
      <c r="L21">
        <v>8240</v>
      </c>
      <c r="M21" t="s">
        <v>527</v>
      </c>
      <c r="N21" t="s">
        <v>671</v>
      </c>
      <c r="O21">
        <v>1</v>
      </c>
      <c r="P21">
        <v>2</v>
      </c>
      <c r="Q21">
        <v>-99</v>
      </c>
      <c r="R21" t="s">
        <v>671</v>
      </c>
    </row>
    <row r="22" spans="1:18" x14ac:dyDescent="0.2">
      <c r="A22">
        <v>21</v>
      </c>
      <c r="B22">
        <v>8</v>
      </c>
      <c r="C22" t="s">
        <v>142</v>
      </c>
      <c r="D22" t="s">
        <v>38</v>
      </c>
      <c r="E22" t="s">
        <v>528</v>
      </c>
      <c r="F22" t="s">
        <v>529</v>
      </c>
      <c r="G22" t="s">
        <v>673</v>
      </c>
      <c r="H22" t="s">
        <v>380</v>
      </c>
      <c r="I22">
        <v>380</v>
      </c>
      <c r="J22">
        <v>30</v>
      </c>
      <c r="K22" t="s">
        <v>379</v>
      </c>
      <c r="L22">
        <v>8233</v>
      </c>
      <c r="M22" t="s">
        <v>335</v>
      </c>
      <c r="N22" t="s">
        <v>381</v>
      </c>
      <c r="O22">
        <v>1</v>
      </c>
      <c r="P22">
        <v>2</v>
      </c>
      <c r="Q22">
        <v>-99</v>
      </c>
      <c r="R22" t="s">
        <v>699</v>
      </c>
    </row>
    <row r="23" spans="1:18" x14ac:dyDescent="0.2">
      <c r="A23">
        <v>22</v>
      </c>
      <c r="B23">
        <v>9</v>
      </c>
      <c r="C23" t="s">
        <v>143</v>
      </c>
      <c r="D23" t="s">
        <v>70</v>
      </c>
      <c r="E23" t="s">
        <v>530</v>
      </c>
      <c r="F23" t="s">
        <v>531</v>
      </c>
      <c r="G23" t="s">
        <v>673</v>
      </c>
      <c r="H23" t="s">
        <v>380</v>
      </c>
      <c r="I23">
        <v>380</v>
      </c>
      <c r="J23">
        <v>30</v>
      </c>
      <c r="K23" t="s">
        <v>379</v>
      </c>
      <c r="L23">
        <v>8235</v>
      </c>
      <c r="M23" t="s">
        <v>370</v>
      </c>
      <c r="N23" t="s">
        <v>382</v>
      </c>
      <c r="O23">
        <v>1</v>
      </c>
      <c r="P23">
        <v>1</v>
      </c>
      <c r="Q23">
        <v>-99</v>
      </c>
      <c r="R23" t="s">
        <v>699</v>
      </c>
    </row>
    <row r="24" spans="1:18" x14ac:dyDescent="0.2">
      <c r="A24">
        <v>23</v>
      </c>
      <c r="B24">
        <v>-99</v>
      </c>
      <c r="C24" t="s">
        <v>143</v>
      </c>
      <c r="D24" t="s">
        <v>70</v>
      </c>
      <c r="E24" t="s">
        <v>532</v>
      </c>
      <c r="F24" t="s">
        <v>533</v>
      </c>
      <c r="G24" t="s">
        <v>673</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534</v>
      </c>
      <c r="F25" t="s">
        <v>535</v>
      </c>
      <c r="G25" t="s">
        <v>673</v>
      </c>
      <c r="H25" t="s">
        <v>380</v>
      </c>
      <c r="I25">
        <v>380</v>
      </c>
      <c r="J25">
        <v>30</v>
      </c>
      <c r="K25" t="s">
        <v>379</v>
      </c>
      <c r="L25">
        <v>8237</v>
      </c>
      <c r="M25" t="s">
        <v>345</v>
      </c>
      <c r="N25" t="s">
        <v>63</v>
      </c>
      <c r="O25">
        <v>1</v>
      </c>
      <c r="P25">
        <v>2</v>
      </c>
      <c r="Q25">
        <v>-99</v>
      </c>
      <c r="R25" t="s">
        <v>699</v>
      </c>
    </row>
    <row r="26" spans="1:18" x14ac:dyDescent="0.2">
      <c r="A26">
        <v>25</v>
      </c>
      <c r="B26">
        <v>11</v>
      </c>
      <c r="C26" t="s">
        <v>145</v>
      </c>
      <c r="D26" t="s">
        <v>24</v>
      </c>
      <c r="E26" t="s">
        <v>536</v>
      </c>
      <c r="F26" t="s">
        <v>537</v>
      </c>
      <c r="G26" t="s">
        <v>673</v>
      </c>
      <c r="H26" t="s">
        <v>380</v>
      </c>
      <c r="I26">
        <v>380</v>
      </c>
      <c r="J26">
        <v>30</v>
      </c>
      <c r="K26" t="s">
        <v>379</v>
      </c>
      <c r="L26">
        <v>8238</v>
      </c>
      <c r="M26" t="s">
        <v>345</v>
      </c>
      <c r="N26" t="s">
        <v>63</v>
      </c>
      <c r="O26">
        <v>1</v>
      </c>
      <c r="P26">
        <v>2</v>
      </c>
      <c r="Q26">
        <v>-99</v>
      </c>
      <c r="R26" t="s">
        <v>699</v>
      </c>
    </row>
    <row r="27" spans="1:18" x14ac:dyDescent="0.2">
      <c r="A27">
        <v>26</v>
      </c>
      <c r="B27">
        <v>12</v>
      </c>
      <c r="C27" t="s">
        <v>146</v>
      </c>
      <c r="D27" t="s">
        <v>47</v>
      </c>
      <c r="E27" t="s">
        <v>538</v>
      </c>
      <c r="F27" t="s">
        <v>539</v>
      </c>
      <c r="G27" t="s">
        <v>673</v>
      </c>
      <c r="H27" t="s">
        <v>380</v>
      </c>
      <c r="I27">
        <v>380</v>
      </c>
      <c r="J27">
        <v>30</v>
      </c>
      <c r="K27" t="s">
        <v>379</v>
      </c>
      <c r="L27">
        <v>8239</v>
      </c>
      <c r="M27" t="s">
        <v>363</v>
      </c>
      <c r="N27" t="s">
        <v>383</v>
      </c>
      <c r="O27">
        <v>1</v>
      </c>
      <c r="P27">
        <v>2</v>
      </c>
      <c r="Q27">
        <v>-99</v>
      </c>
      <c r="R27" t="s">
        <v>699</v>
      </c>
    </row>
    <row r="28" spans="1:18" x14ac:dyDescent="0.2">
      <c r="A28">
        <v>27</v>
      </c>
      <c r="B28">
        <v>13</v>
      </c>
      <c r="C28" t="s">
        <v>147</v>
      </c>
      <c r="D28" t="s">
        <v>64</v>
      </c>
      <c r="E28" t="s">
        <v>540</v>
      </c>
      <c r="F28" t="s">
        <v>541</v>
      </c>
      <c r="G28" t="s">
        <v>673</v>
      </c>
      <c r="H28" t="s">
        <v>380</v>
      </c>
      <c r="I28">
        <v>380</v>
      </c>
      <c r="J28">
        <v>30</v>
      </c>
      <c r="K28" t="s">
        <v>379</v>
      </c>
      <c r="L28">
        <v>8241</v>
      </c>
      <c r="M28" t="s">
        <v>367</v>
      </c>
      <c r="N28" t="s">
        <v>384</v>
      </c>
      <c r="O28">
        <v>1</v>
      </c>
      <c r="P28">
        <v>2</v>
      </c>
      <c r="Q28">
        <v>-99</v>
      </c>
      <c r="R28" t="s">
        <v>699</v>
      </c>
    </row>
    <row r="29" spans="1:18" x14ac:dyDescent="0.2">
      <c r="A29">
        <v>28</v>
      </c>
      <c r="B29">
        <v>14</v>
      </c>
      <c r="C29" t="s">
        <v>102</v>
      </c>
      <c r="D29" t="s">
        <v>66</v>
      </c>
      <c r="E29" t="s">
        <v>542</v>
      </c>
      <c r="F29" t="s">
        <v>543</v>
      </c>
      <c r="G29" t="s">
        <v>673</v>
      </c>
      <c r="H29" t="s">
        <v>380</v>
      </c>
      <c r="I29">
        <v>380</v>
      </c>
      <c r="J29">
        <v>30</v>
      </c>
      <c r="K29" t="s">
        <v>379</v>
      </c>
      <c r="L29">
        <v>8242</v>
      </c>
      <c r="M29" t="s">
        <v>357</v>
      </c>
      <c r="N29" t="s">
        <v>385</v>
      </c>
      <c r="O29">
        <v>1</v>
      </c>
      <c r="P29">
        <v>1</v>
      </c>
      <c r="Q29">
        <v>-99</v>
      </c>
      <c r="R29" t="s">
        <v>699</v>
      </c>
    </row>
    <row r="30" spans="1:18" x14ac:dyDescent="0.2">
      <c r="A30">
        <v>29</v>
      </c>
      <c r="B30">
        <v>-99</v>
      </c>
      <c r="C30" t="s">
        <v>102</v>
      </c>
      <c r="D30" t="s">
        <v>66</v>
      </c>
      <c r="E30" t="s">
        <v>544</v>
      </c>
      <c r="F30" t="s">
        <v>218</v>
      </c>
      <c r="G30" t="s">
        <v>673</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545</v>
      </c>
      <c r="F31" t="s">
        <v>546</v>
      </c>
      <c r="G31" t="s">
        <v>673</v>
      </c>
      <c r="H31" t="s">
        <v>380</v>
      </c>
      <c r="I31">
        <v>380</v>
      </c>
      <c r="J31">
        <v>30</v>
      </c>
      <c r="K31" t="s">
        <v>379</v>
      </c>
      <c r="L31">
        <v>8243</v>
      </c>
      <c r="M31" t="s">
        <v>357</v>
      </c>
      <c r="N31" t="s">
        <v>385</v>
      </c>
      <c r="O31">
        <v>1</v>
      </c>
      <c r="P31">
        <v>1</v>
      </c>
      <c r="Q31">
        <v>-99</v>
      </c>
      <c r="R31" t="s">
        <v>699</v>
      </c>
    </row>
    <row r="32" spans="1:18" x14ac:dyDescent="0.2">
      <c r="A32">
        <v>31</v>
      </c>
      <c r="B32">
        <v>-99</v>
      </c>
      <c r="C32" t="s">
        <v>148</v>
      </c>
      <c r="D32" t="s">
        <v>68</v>
      </c>
      <c r="E32" t="s">
        <v>547</v>
      </c>
      <c r="F32" t="s">
        <v>548</v>
      </c>
      <c r="G32" t="s">
        <v>673</v>
      </c>
      <c r="H32" t="s">
        <v>380</v>
      </c>
      <c r="I32">
        <v>380</v>
      </c>
      <c r="J32">
        <v>30</v>
      </c>
      <c r="K32" t="s">
        <v>379</v>
      </c>
      <c r="L32">
        <v>8243</v>
      </c>
      <c r="M32" t="s">
        <v>357</v>
      </c>
      <c r="N32" t="s">
        <v>385</v>
      </c>
      <c r="O32">
        <v>-99</v>
      </c>
      <c r="P32">
        <v>1</v>
      </c>
      <c r="Q32">
        <v>-99</v>
      </c>
      <c r="R32" t="s">
        <v>698</v>
      </c>
    </row>
    <row r="33" spans="1:18" x14ac:dyDescent="0.2">
      <c r="A33">
        <v>32</v>
      </c>
      <c r="B33">
        <v>16</v>
      </c>
      <c r="C33" t="s">
        <v>149</v>
      </c>
      <c r="D33" t="s">
        <v>36</v>
      </c>
      <c r="E33" t="s">
        <v>549</v>
      </c>
      <c r="F33" t="s">
        <v>550</v>
      </c>
      <c r="G33" t="s">
        <v>673</v>
      </c>
      <c r="H33" t="s">
        <v>380</v>
      </c>
      <c r="I33">
        <v>380</v>
      </c>
      <c r="J33">
        <v>30</v>
      </c>
      <c r="K33" t="s">
        <v>379</v>
      </c>
      <c r="L33">
        <v>8244</v>
      </c>
      <c r="M33" t="s">
        <v>352</v>
      </c>
      <c r="N33" t="s">
        <v>386</v>
      </c>
      <c r="O33">
        <v>1</v>
      </c>
      <c r="P33">
        <v>2</v>
      </c>
      <c r="Q33">
        <v>-99</v>
      </c>
      <c r="R33" t="s">
        <v>699</v>
      </c>
    </row>
    <row r="34" spans="1:18" x14ac:dyDescent="0.2">
      <c r="A34">
        <v>33</v>
      </c>
      <c r="B34">
        <v>23</v>
      </c>
      <c r="C34" t="s">
        <v>108</v>
      </c>
      <c r="D34" t="s">
        <v>72</v>
      </c>
      <c r="E34" t="s">
        <v>551</v>
      </c>
      <c r="F34" t="s">
        <v>552</v>
      </c>
      <c r="G34" t="s">
        <v>674</v>
      </c>
      <c r="H34" t="s">
        <v>387</v>
      </c>
      <c r="I34">
        <v>381</v>
      </c>
      <c r="J34">
        <v>30</v>
      </c>
      <c r="K34" t="s">
        <v>379</v>
      </c>
      <c r="L34">
        <v>8245</v>
      </c>
      <c r="M34" t="s">
        <v>331</v>
      </c>
      <c r="N34" t="s">
        <v>388</v>
      </c>
      <c r="O34">
        <v>1</v>
      </c>
      <c r="P34">
        <v>2</v>
      </c>
      <c r="Q34">
        <v>-99</v>
      </c>
      <c r="R34" t="s">
        <v>699</v>
      </c>
    </row>
    <row r="35" spans="1:18" x14ac:dyDescent="0.2">
      <c r="A35">
        <v>34</v>
      </c>
      <c r="B35">
        <v>24</v>
      </c>
      <c r="C35" t="s">
        <v>150</v>
      </c>
      <c r="D35" t="s">
        <v>50</v>
      </c>
      <c r="E35" t="s">
        <v>553</v>
      </c>
      <c r="F35" t="s">
        <v>554</v>
      </c>
      <c r="G35" t="s">
        <v>674</v>
      </c>
      <c r="H35" t="s">
        <v>387</v>
      </c>
      <c r="I35">
        <v>381</v>
      </c>
      <c r="J35">
        <v>30</v>
      </c>
      <c r="K35" t="s">
        <v>379</v>
      </c>
      <c r="L35">
        <v>8246</v>
      </c>
      <c r="M35" t="s">
        <v>347</v>
      </c>
      <c r="N35" t="s">
        <v>389</v>
      </c>
      <c r="O35">
        <v>1</v>
      </c>
      <c r="P35">
        <v>2</v>
      </c>
      <c r="Q35">
        <v>-99</v>
      </c>
      <c r="R35" t="s">
        <v>699</v>
      </c>
    </row>
    <row r="36" spans="1:18" x14ac:dyDescent="0.2">
      <c r="A36">
        <v>35</v>
      </c>
      <c r="B36">
        <v>30</v>
      </c>
      <c r="C36" t="s">
        <v>151</v>
      </c>
      <c r="D36" t="s">
        <v>25</v>
      </c>
      <c r="E36" t="s">
        <v>555</v>
      </c>
      <c r="F36" t="s">
        <v>556</v>
      </c>
      <c r="G36" t="s">
        <v>674</v>
      </c>
      <c r="H36" t="s">
        <v>387</v>
      </c>
      <c r="I36">
        <v>381</v>
      </c>
      <c r="J36">
        <v>31</v>
      </c>
      <c r="K36" t="s">
        <v>390</v>
      </c>
      <c r="L36">
        <v>8247</v>
      </c>
      <c r="M36" t="s">
        <v>372</v>
      </c>
      <c r="N36" t="s">
        <v>391</v>
      </c>
      <c r="O36">
        <v>1</v>
      </c>
      <c r="P36">
        <v>2</v>
      </c>
      <c r="Q36">
        <v>-99</v>
      </c>
      <c r="R36" t="s">
        <v>699</v>
      </c>
    </row>
    <row r="37" spans="1:18" x14ac:dyDescent="0.2">
      <c r="A37">
        <v>36</v>
      </c>
      <c r="B37">
        <v>194</v>
      </c>
      <c r="C37" t="s">
        <v>152</v>
      </c>
      <c r="D37" t="s">
        <v>80</v>
      </c>
      <c r="E37" t="s">
        <v>557</v>
      </c>
      <c r="F37" t="s">
        <v>558</v>
      </c>
      <c r="G37" t="s">
        <v>674</v>
      </c>
      <c r="H37" t="s">
        <v>387</v>
      </c>
      <c r="I37">
        <v>381</v>
      </c>
      <c r="J37">
        <v>31</v>
      </c>
      <c r="K37" t="s">
        <v>390</v>
      </c>
      <c r="L37">
        <v>8248</v>
      </c>
      <c r="M37" t="s">
        <v>327</v>
      </c>
      <c r="N37" t="s">
        <v>435</v>
      </c>
      <c r="O37">
        <v>1</v>
      </c>
      <c r="P37">
        <v>2</v>
      </c>
      <c r="Q37">
        <v>-99</v>
      </c>
      <c r="R37" t="s">
        <v>699</v>
      </c>
    </row>
    <row r="38" spans="1:18" x14ac:dyDescent="0.2">
      <c r="A38">
        <v>37</v>
      </c>
      <c r="B38">
        <v>34</v>
      </c>
      <c r="C38" t="s">
        <v>153</v>
      </c>
      <c r="D38" t="s">
        <v>86</v>
      </c>
      <c r="E38" t="s">
        <v>559</v>
      </c>
      <c r="F38" t="s">
        <v>560</v>
      </c>
      <c r="G38" t="s">
        <v>674</v>
      </c>
      <c r="H38" t="s">
        <v>387</v>
      </c>
      <c r="I38">
        <v>381</v>
      </c>
      <c r="J38">
        <v>30</v>
      </c>
      <c r="K38" t="s">
        <v>379</v>
      </c>
      <c r="L38">
        <v>8249</v>
      </c>
      <c r="M38" t="s">
        <v>358</v>
      </c>
      <c r="N38" t="s">
        <v>392</v>
      </c>
      <c r="O38">
        <v>1</v>
      </c>
      <c r="P38">
        <v>1</v>
      </c>
      <c r="Q38">
        <v>-99</v>
      </c>
      <c r="R38" t="s">
        <v>699</v>
      </c>
    </row>
    <row r="39" spans="1:18" x14ac:dyDescent="0.2">
      <c r="A39">
        <v>38</v>
      </c>
      <c r="B39">
        <v>-99</v>
      </c>
      <c r="C39" t="s">
        <v>153</v>
      </c>
      <c r="D39" t="s">
        <v>86</v>
      </c>
      <c r="E39" t="s">
        <v>561</v>
      </c>
      <c r="F39" t="s">
        <v>221</v>
      </c>
      <c r="G39" t="s">
        <v>674</v>
      </c>
      <c r="H39" t="s">
        <v>387</v>
      </c>
      <c r="I39">
        <v>381</v>
      </c>
      <c r="J39">
        <v>30</v>
      </c>
      <c r="K39" t="s">
        <v>379</v>
      </c>
      <c r="L39">
        <v>8249</v>
      </c>
      <c r="M39" t="s">
        <v>358</v>
      </c>
      <c r="N39" t="s">
        <v>392</v>
      </c>
      <c r="O39">
        <v>-99</v>
      </c>
      <c r="P39">
        <v>1</v>
      </c>
      <c r="Q39">
        <v>-99</v>
      </c>
      <c r="R39" t="s">
        <v>696</v>
      </c>
    </row>
    <row r="40" spans="1:18" x14ac:dyDescent="0.2">
      <c r="A40">
        <v>39</v>
      </c>
      <c r="B40">
        <v>-99</v>
      </c>
      <c r="C40" t="s">
        <v>153</v>
      </c>
      <c r="D40" t="s">
        <v>86</v>
      </c>
      <c r="E40" t="s">
        <v>562</v>
      </c>
      <c r="F40" t="s">
        <v>979</v>
      </c>
      <c r="G40" t="s">
        <v>674</v>
      </c>
      <c r="H40" t="s">
        <v>387</v>
      </c>
      <c r="I40">
        <v>381</v>
      </c>
      <c r="J40">
        <v>30</v>
      </c>
      <c r="K40" t="s">
        <v>379</v>
      </c>
      <c r="L40">
        <v>8249</v>
      </c>
      <c r="M40" t="s">
        <v>358</v>
      </c>
      <c r="N40" t="s">
        <v>392</v>
      </c>
      <c r="O40">
        <v>-99</v>
      </c>
      <c r="P40">
        <v>1</v>
      </c>
      <c r="Q40">
        <v>-99</v>
      </c>
      <c r="R40" t="s">
        <v>697</v>
      </c>
    </row>
    <row r="41" spans="1:18" x14ac:dyDescent="0.2">
      <c r="A41">
        <v>40</v>
      </c>
      <c r="B41">
        <v>35</v>
      </c>
      <c r="C41" t="s">
        <v>154</v>
      </c>
      <c r="D41" t="s">
        <v>42</v>
      </c>
      <c r="E41" t="s">
        <v>563</v>
      </c>
      <c r="F41" t="s">
        <v>564</v>
      </c>
      <c r="G41" t="s">
        <v>674</v>
      </c>
      <c r="H41" t="s">
        <v>387</v>
      </c>
      <c r="I41">
        <v>381</v>
      </c>
      <c r="J41">
        <v>31</v>
      </c>
      <c r="K41" t="s">
        <v>390</v>
      </c>
      <c r="L41">
        <v>8250</v>
      </c>
      <c r="M41" t="s">
        <v>350</v>
      </c>
      <c r="N41" t="s">
        <v>393</v>
      </c>
      <c r="O41">
        <v>1</v>
      </c>
      <c r="P41">
        <v>2</v>
      </c>
      <c r="Q41">
        <v>-99</v>
      </c>
      <c r="R41" t="s">
        <v>699</v>
      </c>
    </row>
    <row r="42" spans="1:18" x14ac:dyDescent="0.2">
      <c r="A42">
        <v>41</v>
      </c>
      <c r="B42">
        <v>36</v>
      </c>
      <c r="C42" t="s">
        <v>94</v>
      </c>
      <c r="D42" t="s">
        <v>61</v>
      </c>
      <c r="E42" t="s">
        <v>565</v>
      </c>
      <c r="F42" t="s">
        <v>566</v>
      </c>
      <c r="G42" t="s">
        <v>674</v>
      </c>
      <c r="H42" t="s">
        <v>387</v>
      </c>
      <c r="I42">
        <v>381</v>
      </c>
      <c r="J42">
        <v>31</v>
      </c>
      <c r="K42" t="s">
        <v>390</v>
      </c>
      <c r="L42">
        <v>8251</v>
      </c>
      <c r="M42" t="s">
        <v>353</v>
      </c>
      <c r="N42" t="s">
        <v>394</v>
      </c>
      <c r="O42">
        <v>1</v>
      </c>
      <c r="P42">
        <v>2</v>
      </c>
      <c r="Q42">
        <v>-99</v>
      </c>
      <c r="R42" t="s">
        <v>699</v>
      </c>
    </row>
    <row r="43" spans="1:18" x14ac:dyDescent="0.2">
      <c r="A43">
        <v>42</v>
      </c>
      <c r="B43">
        <v>37</v>
      </c>
      <c r="C43" t="s">
        <v>155</v>
      </c>
      <c r="D43" t="s">
        <v>62</v>
      </c>
      <c r="E43" t="s">
        <v>567</v>
      </c>
      <c r="F43" t="s">
        <v>568</v>
      </c>
      <c r="G43" t="s">
        <v>675</v>
      </c>
      <c r="H43" t="s">
        <v>396</v>
      </c>
      <c r="I43">
        <v>382</v>
      </c>
      <c r="J43">
        <v>33</v>
      </c>
      <c r="K43" t="s">
        <v>395</v>
      </c>
      <c r="L43">
        <v>8252</v>
      </c>
      <c r="M43" t="s">
        <v>330</v>
      </c>
      <c r="N43" t="s">
        <v>397</v>
      </c>
      <c r="O43">
        <v>1</v>
      </c>
      <c r="P43">
        <v>2</v>
      </c>
      <c r="Q43">
        <v>-99</v>
      </c>
      <c r="R43" t="s">
        <v>699</v>
      </c>
    </row>
    <row r="44" spans="1:18" x14ac:dyDescent="0.2">
      <c r="A44">
        <v>43</v>
      </c>
      <c r="B44">
        <v>38</v>
      </c>
      <c r="C44" t="s">
        <v>156</v>
      </c>
      <c r="D44" t="s">
        <v>60</v>
      </c>
      <c r="E44" t="s">
        <v>569</v>
      </c>
      <c r="F44" t="s">
        <v>570</v>
      </c>
      <c r="G44" t="s">
        <v>674</v>
      </c>
      <c r="H44" t="s">
        <v>387</v>
      </c>
      <c r="I44">
        <v>381</v>
      </c>
      <c r="J44">
        <v>31</v>
      </c>
      <c r="K44" t="s">
        <v>390</v>
      </c>
      <c r="L44">
        <v>8253</v>
      </c>
      <c r="M44" t="s">
        <v>364</v>
      </c>
      <c r="N44" t="s">
        <v>398</v>
      </c>
      <c r="O44">
        <v>1</v>
      </c>
      <c r="P44">
        <v>2</v>
      </c>
      <c r="Q44">
        <v>-99</v>
      </c>
      <c r="R44" t="s">
        <v>699</v>
      </c>
    </row>
    <row r="45" spans="1:18" x14ac:dyDescent="0.2">
      <c r="A45">
        <v>44</v>
      </c>
      <c r="B45">
        <v>39</v>
      </c>
      <c r="C45" t="s">
        <v>157</v>
      </c>
      <c r="D45" t="s">
        <v>52</v>
      </c>
      <c r="E45" t="s">
        <v>571</v>
      </c>
      <c r="F45" t="s">
        <v>572</v>
      </c>
      <c r="G45" t="s">
        <v>674</v>
      </c>
      <c r="H45" t="s">
        <v>387</v>
      </c>
      <c r="I45">
        <v>381</v>
      </c>
      <c r="J45">
        <v>33</v>
      </c>
      <c r="K45" t="s">
        <v>395</v>
      </c>
      <c r="L45">
        <v>8254</v>
      </c>
      <c r="M45" t="s">
        <v>365</v>
      </c>
      <c r="N45" t="s">
        <v>399</v>
      </c>
      <c r="O45">
        <v>1</v>
      </c>
      <c r="P45">
        <v>1</v>
      </c>
      <c r="Q45">
        <v>-99</v>
      </c>
      <c r="R45" t="s">
        <v>699</v>
      </c>
    </row>
    <row r="46" spans="1:18" x14ac:dyDescent="0.2">
      <c r="A46">
        <v>45</v>
      </c>
      <c r="B46">
        <v>-99</v>
      </c>
      <c r="C46" t="s">
        <v>157</v>
      </c>
      <c r="D46" t="s">
        <v>52</v>
      </c>
      <c r="E46" t="s">
        <v>573</v>
      </c>
      <c r="F46" t="s">
        <v>574</v>
      </c>
      <c r="G46" t="s">
        <v>674</v>
      </c>
      <c r="H46" t="s">
        <v>387</v>
      </c>
      <c r="I46">
        <v>381</v>
      </c>
      <c r="J46">
        <v>33</v>
      </c>
      <c r="K46" t="s">
        <v>395</v>
      </c>
      <c r="L46">
        <v>8254</v>
      </c>
      <c r="M46" t="s">
        <v>365</v>
      </c>
      <c r="N46" t="s">
        <v>399</v>
      </c>
      <c r="O46">
        <v>-99</v>
      </c>
      <c r="P46">
        <v>1</v>
      </c>
      <c r="Q46">
        <v>-99</v>
      </c>
      <c r="R46" t="s">
        <v>700</v>
      </c>
    </row>
    <row r="47" spans="1:18" x14ac:dyDescent="0.2">
      <c r="A47">
        <v>46</v>
      </c>
      <c r="B47">
        <v>52</v>
      </c>
      <c r="C47" t="s">
        <v>158</v>
      </c>
      <c r="D47" t="s">
        <v>41</v>
      </c>
      <c r="E47" t="s">
        <v>575</v>
      </c>
      <c r="F47" t="s">
        <v>576</v>
      </c>
      <c r="G47" t="s">
        <v>673</v>
      </c>
      <c r="H47" t="s">
        <v>380</v>
      </c>
      <c r="I47">
        <v>380</v>
      </c>
      <c r="J47">
        <v>32</v>
      </c>
      <c r="K47" t="s">
        <v>400</v>
      </c>
      <c r="L47">
        <v>8255</v>
      </c>
      <c r="M47" t="s">
        <v>366</v>
      </c>
      <c r="N47" t="s">
        <v>401</v>
      </c>
      <c r="O47">
        <v>1</v>
      </c>
      <c r="P47">
        <v>2</v>
      </c>
      <c r="Q47">
        <v>-99</v>
      </c>
      <c r="R47" t="s">
        <v>699</v>
      </c>
    </row>
    <row r="48" spans="1:18" x14ac:dyDescent="0.2">
      <c r="A48">
        <v>47</v>
      </c>
      <c r="B48">
        <v>53</v>
      </c>
      <c r="C48" t="s">
        <v>159</v>
      </c>
      <c r="D48" t="s">
        <v>51</v>
      </c>
      <c r="E48" t="s">
        <v>577</v>
      </c>
      <c r="F48" t="s">
        <v>578</v>
      </c>
      <c r="G48" t="s">
        <v>673</v>
      </c>
      <c r="H48" t="s">
        <v>380</v>
      </c>
      <c r="I48">
        <v>380</v>
      </c>
      <c r="J48">
        <v>32</v>
      </c>
      <c r="K48" t="s">
        <v>400</v>
      </c>
      <c r="L48">
        <v>8256</v>
      </c>
      <c r="M48" t="s">
        <v>340</v>
      </c>
      <c r="N48" t="s">
        <v>402</v>
      </c>
      <c r="O48">
        <v>1</v>
      </c>
      <c r="P48">
        <v>2</v>
      </c>
      <c r="Q48">
        <v>-99</v>
      </c>
      <c r="R48" t="s">
        <v>699</v>
      </c>
    </row>
    <row r="49" spans="1:18" x14ac:dyDescent="0.2">
      <c r="A49">
        <v>48</v>
      </c>
      <c r="B49">
        <v>54</v>
      </c>
      <c r="C49" t="s">
        <v>160</v>
      </c>
      <c r="D49" t="s">
        <v>56</v>
      </c>
      <c r="E49" t="s">
        <v>579</v>
      </c>
      <c r="F49" t="s">
        <v>580</v>
      </c>
      <c r="G49" t="s">
        <v>674</v>
      </c>
      <c r="H49" t="s">
        <v>387</v>
      </c>
      <c r="I49">
        <v>381</v>
      </c>
      <c r="J49">
        <v>31</v>
      </c>
      <c r="K49" t="s">
        <v>390</v>
      </c>
      <c r="L49">
        <v>8257</v>
      </c>
      <c r="M49" t="s">
        <v>346</v>
      </c>
      <c r="N49" t="s">
        <v>403</v>
      </c>
      <c r="O49">
        <v>1</v>
      </c>
      <c r="P49">
        <v>1</v>
      </c>
      <c r="Q49">
        <v>-99</v>
      </c>
      <c r="R49" t="s">
        <v>699</v>
      </c>
    </row>
    <row r="50" spans="1:18" x14ac:dyDescent="0.2">
      <c r="A50">
        <v>49</v>
      </c>
      <c r="B50">
        <v>-99</v>
      </c>
      <c r="C50" t="s">
        <v>160</v>
      </c>
      <c r="D50" t="s">
        <v>56</v>
      </c>
      <c r="E50" t="s">
        <v>581</v>
      </c>
      <c r="F50" t="s">
        <v>582</v>
      </c>
      <c r="G50" t="s">
        <v>674</v>
      </c>
      <c r="H50" t="s">
        <v>387</v>
      </c>
      <c r="I50">
        <v>381</v>
      </c>
      <c r="J50">
        <v>31</v>
      </c>
      <c r="K50" t="s">
        <v>390</v>
      </c>
      <c r="L50">
        <v>8257</v>
      </c>
      <c r="M50" t="s">
        <v>346</v>
      </c>
      <c r="N50" t="s">
        <v>403</v>
      </c>
      <c r="O50">
        <v>-99</v>
      </c>
      <c r="P50">
        <v>1</v>
      </c>
      <c r="Q50">
        <v>-99</v>
      </c>
      <c r="R50" t="s">
        <v>701</v>
      </c>
    </row>
    <row r="51" spans="1:18" x14ac:dyDescent="0.2">
      <c r="A51">
        <v>50</v>
      </c>
      <c r="B51">
        <v>55</v>
      </c>
      <c r="C51" t="s">
        <v>161</v>
      </c>
      <c r="D51" t="s">
        <v>40</v>
      </c>
      <c r="E51" t="s">
        <v>583</v>
      </c>
      <c r="F51" t="s">
        <v>584</v>
      </c>
      <c r="G51" t="s">
        <v>675</v>
      </c>
      <c r="H51" t="s">
        <v>396</v>
      </c>
      <c r="I51">
        <v>382</v>
      </c>
      <c r="J51">
        <v>32</v>
      </c>
      <c r="K51" t="s">
        <v>400</v>
      </c>
      <c r="L51">
        <v>8258</v>
      </c>
      <c r="M51" t="s">
        <v>359</v>
      </c>
      <c r="N51" t="s">
        <v>404</v>
      </c>
      <c r="O51">
        <v>1</v>
      </c>
      <c r="P51">
        <v>2</v>
      </c>
      <c r="Q51">
        <v>-99</v>
      </c>
      <c r="R51" t="s">
        <v>699</v>
      </c>
    </row>
    <row r="52" spans="1:18" x14ac:dyDescent="0.2">
      <c r="A52">
        <v>51</v>
      </c>
      <c r="B52">
        <v>56</v>
      </c>
      <c r="C52" t="s">
        <v>162</v>
      </c>
      <c r="D52" t="s">
        <v>45</v>
      </c>
      <c r="E52" t="s">
        <v>585</v>
      </c>
      <c r="F52" t="s">
        <v>586</v>
      </c>
      <c r="G52" t="s">
        <v>673</v>
      </c>
      <c r="H52" t="s">
        <v>380</v>
      </c>
      <c r="I52">
        <v>380</v>
      </c>
      <c r="J52">
        <v>32</v>
      </c>
      <c r="K52" t="s">
        <v>400</v>
      </c>
      <c r="L52">
        <v>8259</v>
      </c>
      <c r="M52" t="s">
        <v>336</v>
      </c>
      <c r="N52" t="s">
        <v>405</v>
      </c>
      <c r="O52">
        <v>1</v>
      </c>
      <c r="P52">
        <v>2</v>
      </c>
      <c r="Q52">
        <v>-99</v>
      </c>
      <c r="R52" t="s">
        <v>699</v>
      </c>
    </row>
    <row r="53" spans="1:18" x14ac:dyDescent="0.2">
      <c r="A53">
        <v>52</v>
      </c>
      <c r="B53">
        <v>57</v>
      </c>
      <c r="C53" t="s">
        <v>163</v>
      </c>
      <c r="D53" t="s">
        <v>59</v>
      </c>
      <c r="E53" t="s">
        <v>587</v>
      </c>
      <c r="F53" t="s">
        <v>588</v>
      </c>
      <c r="G53" t="s">
        <v>675</v>
      </c>
      <c r="H53" t="s">
        <v>396</v>
      </c>
      <c r="I53">
        <v>382</v>
      </c>
      <c r="J53">
        <v>32</v>
      </c>
      <c r="K53" t="s">
        <v>400</v>
      </c>
      <c r="L53">
        <v>8260</v>
      </c>
      <c r="M53" t="s">
        <v>326</v>
      </c>
      <c r="N53" t="s">
        <v>406</v>
      </c>
      <c r="O53">
        <v>1</v>
      </c>
      <c r="P53">
        <v>1</v>
      </c>
      <c r="Q53">
        <v>-99</v>
      </c>
      <c r="R53" t="s">
        <v>699</v>
      </c>
    </row>
    <row r="54" spans="1:18" x14ac:dyDescent="0.2">
      <c r="A54">
        <v>53</v>
      </c>
      <c r="B54">
        <v>-99</v>
      </c>
      <c r="C54" t="s">
        <v>163</v>
      </c>
      <c r="D54" t="s">
        <v>59</v>
      </c>
      <c r="E54" t="s">
        <v>589</v>
      </c>
      <c r="F54" t="s">
        <v>217</v>
      </c>
      <c r="G54" t="s">
        <v>675</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590</v>
      </c>
      <c r="F55" t="s">
        <v>591</v>
      </c>
      <c r="G55" t="s">
        <v>675</v>
      </c>
      <c r="H55" t="s">
        <v>396</v>
      </c>
      <c r="I55">
        <v>382</v>
      </c>
      <c r="J55">
        <v>32</v>
      </c>
      <c r="K55" t="s">
        <v>400</v>
      </c>
      <c r="L55">
        <v>8261</v>
      </c>
      <c r="M55" t="s">
        <v>349</v>
      </c>
      <c r="N55" t="s">
        <v>407</v>
      </c>
      <c r="O55">
        <v>1</v>
      </c>
      <c r="P55">
        <v>2</v>
      </c>
      <c r="Q55">
        <v>-99</v>
      </c>
      <c r="R55" t="s">
        <v>699</v>
      </c>
    </row>
    <row r="56" spans="1:18" x14ac:dyDescent="0.2">
      <c r="A56">
        <v>55</v>
      </c>
      <c r="B56">
        <v>59</v>
      </c>
      <c r="C56" t="s">
        <v>165</v>
      </c>
      <c r="D56" t="s">
        <v>44</v>
      </c>
      <c r="E56" t="s">
        <v>592</v>
      </c>
      <c r="F56" t="s">
        <v>593</v>
      </c>
      <c r="G56" t="s">
        <v>675</v>
      </c>
      <c r="H56" t="s">
        <v>396</v>
      </c>
      <c r="I56">
        <v>382</v>
      </c>
      <c r="J56">
        <v>32</v>
      </c>
      <c r="K56" t="s">
        <v>400</v>
      </c>
      <c r="L56">
        <v>8262</v>
      </c>
      <c r="M56" t="s">
        <v>373</v>
      </c>
      <c r="N56" t="s">
        <v>409</v>
      </c>
      <c r="O56">
        <v>1</v>
      </c>
      <c r="P56">
        <v>2</v>
      </c>
      <c r="Q56">
        <v>-99</v>
      </c>
      <c r="R56" t="s">
        <v>699</v>
      </c>
    </row>
    <row r="57" spans="1:18" x14ac:dyDescent="0.2">
      <c r="A57">
        <v>56</v>
      </c>
      <c r="B57">
        <v>60</v>
      </c>
      <c r="C57" t="s">
        <v>166</v>
      </c>
      <c r="D57" t="s">
        <v>53</v>
      </c>
      <c r="E57" t="s">
        <v>594</v>
      </c>
      <c r="F57" t="s">
        <v>595</v>
      </c>
      <c r="G57" t="s">
        <v>675</v>
      </c>
      <c r="H57" t="s">
        <v>396</v>
      </c>
      <c r="I57">
        <v>382</v>
      </c>
      <c r="J57">
        <v>32</v>
      </c>
      <c r="K57" t="s">
        <v>400</v>
      </c>
      <c r="L57">
        <v>8263</v>
      </c>
      <c r="M57" t="s">
        <v>332</v>
      </c>
      <c r="N57" t="s">
        <v>410</v>
      </c>
      <c r="O57">
        <v>1</v>
      </c>
      <c r="P57">
        <v>2</v>
      </c>
      <c r="Q57">
        <v>-99</v>
      </c>
      <c r="R57" t="s">
        <v>699</v>
      </c>
    </row>
    <row r="58" spans="1:18" x14ac:dyDescent="0.2">
      <c r="A58">
        <v>57</v>
      </c>
      <c r="B58">
        <v>84</v>
      </c>
      <c r="C58" t="s">
        <v>167</v>
      </c>
      <c r="D58" t="s">
        <v>79</v>
      </c>
      <c r="E58" t="s">
        <v>596</v>
      </c>
      <c r="F58" t="s">
        <v>597</v>
      </c>
      <c r="G58" t="s">
        <v>675</v>
      </c>
      <c r="H58" t="s">
        <v>396</v>
      </c>
      <c r="I58">
        <v>382</v>
      </c>
      <c r="J58">
        <v>32</v>
      </c>
      <c r="K58" t="s">
        <v>400</v>
      </c>
      <c r="L58">
        <v>8264</v>
      </c>
      <c r="M58" t="s">
        <v>343</v>
      </c>
      <c r="N58" t="s">
        <v>411</v>
      </c>
      <c r="O58">
        <v>1</v>
      </c>
      <c r="P58">
        <v>1</v>
      </c>
      <c r="Q58">
        <v>-99</v>
      </c>
      <c r="R58" t="s">
        <v>699</v>
      </c>
    </row>
    <row r="59" spans="1:18" x14ac:dyDescent="0.2">
      <c r="A59">
        <v>58</v>
      </c>
      <c r="B59">
        <v>-99</v>
      </c>
      <c r="C59" t="s">
        <v>167</v>
      </c>
      <c r="D59" t="s">
        <v>79</v>
      </c>
      <c r="E59" t="s">
        <v>598</v>
      </c>
      <c r="F59" t="s">
        <v>501</v>
      </c>
      <c r="G59" t="s">
        <v>675</v>
      </c>
      <c r="H59" t="s">
        <v>396</v>
      </c>
      <c r="I59">
        <v>382</v>
      </c>
      <c r="J59">
        <v>32</v>
      </c>
      <c r="K59" t="s">
        <v>400</v>
      </c>
      <c r="L59">
        <v>8264</v>
      </c>
      <c r="M59" t="s">
        <v>343</v>
      </c>
      <c r="N59" t="s">
        <v>411</v>
      </c>
      <c r="O59">
        <v>-99</v>
      </c>
      <c r="P59">
        <v>1</v>
      </c>
      <c r="Q59">
        <v>-99</v>
      </c>
      <c r="R59" t="s">
        <v>671</v>
      </c>
    </row>
    <row r="60" spans="1:18" x14ac:dyDescent="0.2">
      <c r="A60">
        <v>59</v>
      </c>
      <c r="B60">
        <v>-99</v>
      </c>
      <c r="C60" t="s">
        <v>167</v>
      </c>
      <c r="D60" t="s">
        <v>79</v>
      </c>
      <c r="E60" t="s">
        <v>599</v>
      </c>
      <c r="F60" t="s">
        <v>220</v>
      </c>
      <c r="G60" t="s">
        <v>675</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600</v>
      </c>
      <c r="F61" t="s">
        <v>601</v>
      </c>
      <c r="G61" t="s">
        <v>677</v>
      </c>
      <c r="H61" t="s">
        <v>412</v>
      </c>
      <c r="I61">
        <v>383</v>
      </c>
      <c r="J61">
        <v>33</v>
      </c>
      <c r="K61" t="s">
        <v>395</v>
      </c>
      <c r="L61">
        <v>8268</v>
      </c>
      <c r="M61" t="s">
        <v>360</v>
      </c>
      <c r="N61" t="s">
        <v>413</v>
      </c>
      <c r="O61">
        <v>1</v>
      </c>
      <c r="P61">
        <v>2</v>
      </c>
      <c r="Q61">
        <v>-99</v>
      </c>
      <c r="R61" t="s">
        <v>699</v>
      </c>
    </row>
    <row r="62" spans="1:18" x14ac:dyDescent="0.2">
      <c r="A62">
        <v>61</v>
      </c>
      <c r="B62">
        <v>101</v>
      </c>
      <c r="C62" t="s">
        <v>169</v>
      </c>
      <c r="D62" t="s">
        <v>34</v>
      </c>
      <c r="E62" t="s">
        <v>602</v>
      </c>
      <c r="F62" t="s">
        <v>603</v>
      </c>
      <c r="G62" t="s">
        <v>677</v>
      </c>
      <c r="H62" t="s">
        <v>412</v>
      </c>
      <c r="I62">
        <v>383</v>
      </c>
      <c r="J62">
        <v>34</v>
      </c>
      <c r="K62" t="s">
        <v>414</v>
      </c>
      <c r="L62">
        <v>8269</v>
      </c>
      <c r="M62" t="s">
        <v>328</v>
      </c>
      <c r="N62" t="s">
        <v>415</v>
      </c>
      <c r="O62">
        <v>1</v>
      </c>
      <c r="P62">
        <v>2</v>
      </c>
      <c r="Q62">
        <v>-99</v>
      </c>
      <c r="R62" t="s">
        <v>699</v>
      </c>
    </row>
    <row r="63" spans="1:18" x14ac:dyDescent="0.2">
      <c r="A63">
        <v>62</v>
      </c>
      <c r="B63">
        <v>102</v>
      </c>
      <c r="C63" t="s">
        <v>170</v>
      </c>
      <c r="D63" t="s">
        <v>73</v>
      </c>
      <c r="E63" t="s">
        <v>604</v>
      </c>
      <c r="F63" t="s">
        <v>605</v>
      </c>
      <c r="G63" t="s">
        <v>677</v>
      </c>
      <c r="H63" t="s">
        <v>412</v>
      </c>
      <c r="I63">
        <v>383</v>
      </c>
      <c r="J63">
        <v>33</v>
      </c>
      <c r="K63" t="s">
        <v>395</v>
      </c>
      <c r="L63">
        <v>8270</v>
      </c>
      <c r="M63" t="s">
        <v>354</v>
      </c>
      <c r="N63" t="s">
        <v>416</v>
      </c>
      <c r="O63">
        <v>1</v>
      </c>
      <c r="P63">
        <v>1</v>
      </c>
      <c r="Q63">
        <v>-99</v>
      </c>
      <c r="R63" t="s">
        <v>699</v>
      </c>
    </row>
    <row r="64" spans="1:18" x14ac:dyDescent="0.2">
      <c r="A64">
        <v>63</v>
      </c>
      <c r="B64">
        <v>-99</v>
      </c>
      <c r="C64" t="s">
        <v>170</v>
      </c>
      <c r="D64" t="s">
        <v>73</v>
      </c>
      <c r="E64" t="s">
        <v>606</v>
      </c>
      <c r="F64" t="s">
        <v>219</v>
      </c>
      <c r="G64" t="s">
        <v>677</v>
      </c>
      <c r="H64" t="s">
        <v>412</v>
      </c>
      <c r="I64">
        <v>383</v>
      </c>
      <c r="J64">
        <v>33</v>
      </c>
      <c r="K64" t="s">
        <v>395</v>
      </c>
      <c r="L64">
        <v>8270</v>
      </c>
      <c r="M64" t="s">
        <v>354</v>
      </c>
      <c r="N64" t="s">
        <v>416</v>
      </c>
      <c r="O64">
        <v>-99</v>
      </c>
      <c r="P64">
        <v>1</v>
      </c>
      <c r="Q64">
        <v>-99</v>
      </c>
      <c r="R64" t="s">
        <v>696</v>
      </c>
    </row>
    <row r="65" spans="1:18" x14ac:dyDescent="0.2">
      <c r="A65">
        <v>64</v>
      </c>
      <c r="B65">
        <v>103</v>
      </c>
      <c r="C65" t="s">
        <v>171</v>
      </c>
      <c r="D65" t="s">
        <v>65</v>
      </c>
      <c r="E65" t="s">
        <v>607</v>
      </c>
      <c r="F65" t="s">
        <v>608</v>
      </c>
      <c r="G65" t="s">
        <v>677</v>
      </c>
      <c r="H65" t="s">
        <v>412</v>
      </c>
      <c r="I65">
        <v>383</v>
      </c>
      <c r="J65">
        <v>34</v>
      </c>
      <c r="K65" t="s">
        <v>414</v>
      </c>
      <c r="L65">
        <v>8272</v>
      </c>
      <c r="M65" t="s">
        <v>342</v>
      </c>
      <c r="N65" t="s">
        <v>417</v>
      </c>
      <c r="O65">
        <v>1</v>
      </c>
      <c r="P65">
        <v>2</v>
      </c>
      <c r="Q65">
        <v>-99</v>
      </c>
      <c r="R65" t="s">
        <v>699</v>
      </c>
    </row>
    <row r="66" spans="1:18" x14ac:dyDescent="0.2">
      <c r="A66">
        <v>65</v>
      </c>
      <c r="B66">
        <v>104</v>
      </c>
      <c r="C66" t="s">
        <v>172</v>
      </c>
      <c r="D66" t="s">
        <v>55</v>
      </c>
      <c r="E66" t="s">
        <v>609</v>
      </c>
      <c r="F66" t="s">
        <v>610</v>
      </c>
      <c r="G66" t="s">
        <v>677</v>
      </c>
      <c r="H66" t="s">
        <v>412</v>
      </c>
      <c r="I66">
        <v>383</v>
      </c>
      <c r="J66">
        <v>34</v>
      </c>
      <c r="K66" t="s">
        <v>414</v>
      </c>
      <c r="L66">
        <v>8221</v>
      </c>
      <c r="M66" t="s">
        <v>342</v>
      </c>
      <c r="N66" t="s">
        <v>417</v>
      </c>
      <c r="O66">
        <v>1</v>
      </c>
      <c r="P66">
        <v>2</v>
      </c>
      <c r="Q66">
        <v>-99</v>
      </c>
      <c r="R66" t="s">
        <v>699</v>
      </c>
    </row>
    <row r="67" spans="1:18" x14ac:dyDescent="0.2">
      <c r="A67">
        <v>66</v>
      </c>
      <c r="B67">
        <v>196</v>
      </c>
      <c r="C67" t="s">
        <v>173</v>
      </c>
      <c r="D67" t="s">
        <v>67</v>
      </c>
      <c r="E67" t="s">
        <v>611</v>
      </c>
      <c r="F67" t="s">
        <v>612</v>
      </c>
      <c r="G67" t="s">
        <v>677</v>
      </c>
      <c r="H67" t="s">
        <v>412</v>
      </c>
      <c r="I67">
        <v>383</v>
      </c>
      <c r="J67">
        <v>34</v>
      </c>
      <c r="K67" t="s">
        <v>414</v>
      </c>
      <c r="L67">
        <v>8202</v>
      </c>
      <c r="M67" t="s">
        <v>355</v>
      </c>
      <c r="N67" t="s">
        <v>436</v>
      </c>
      <c r="O67">
        <v>1</v>
      </c>
      <c r="P67">
        <v>2</v>
      </c>
      <c r="Q67">
        <v>-99</v>
      </c>
      <c r="R67" t="s">
        <v>699</v>
      </c>
    </row>
    <row r="68" spans="1:18" x14ac:dyDescent="0.2">
      <c r="A68">
        <v>67</v>
      </c>
      <c r="B68">
        <v>110</v>
      </c>
      <c r="C68" t="s">
        <v>174</v>
      </c>
      <c r="D68" t="s">
        <v>76</v>
      </c>
      <c r="E68" t="s">
        <v>613</v>
      </c>
      <c r="F68" t="s">
        <v>614</v>
      </c>
      <c r="G68" t="s">
        <v>677</v>
      </c>
      <c r="H68" t="s">
        <v>412</v>
      </c>
      <c r="I68">
        <v>383</v>
      </c>
      <c r="J68">
        <v>34</v>
      </c>
      <c r="K68" t="s">
        <v>414</v>
      </c>
      <c r="L68">
        <v>8203</v>
      </c>
      <c r="M68" t="s">
        <v>339</v>
      </c>
      <c r="N68" t="s">
        <v>83</v>
      </c>
      <c r="O68">
        <v>1</v>
      </c>
      <c r="P68">
        <v>1</v>
      </c>
      <c r="Q68">
        <v>-99</v>
      </c>
      <c r="R68" t="s">
        <v>699</v>
      </c>
    </row>
    <row r="69" spans="1:18" x14ac:dyDescent="0.2">
      <c r="A69">
        <v>68</v>
      </c>
      <c r="B69">
        <v>-99</v>
      </c>
      <c r="C69" t="s">
        <v>174</v>
      </c>
      <c r="D69" t="s">
        <v>76</v>
      </c>
      <c r="E69" t="s">
        <v>615</v>
      </c>
      <c r="F69" t="s">
        <v>616</v>
      </c>
      <c r="G69" t="s">
        <v>677</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617</v>
      </c>
      <c r="F70" t="s">
        <v>618</v>
      </c>
      <c r="G70" t="s">
        <v>677</v>
      </c>
      <c r="H70" t="s">
        <v>412</v>
      </c>
      <c r="I70">
        <v>383</v>
      </c>
      <c r="J70">
        <v>34</v>
      </c>
      <c r="K70" t="s">
        <v>414</v>
      </c>
      <c r="L70">
        <v>8204</v>
      </c>
      <c r="M70" t="s">
        <v>344</v>
      </c>
      <c r="N70" t="s">
        <v>418</v>
      </c>
      <c r="O70">
        <v>1</v>
      </c>
      <c r="P70">
        <v>2</v>
      </c>
      <c r="Q70">
        <v>-99</v>
      </c>
      <c r="R70" t="s">
        <v>699</v>
      </c>
    </row>
    <row r="71" spans="1:18" x14ac:dyDescent="0.2">
      <c r="A71">
        <v>70</v>
      </c>
      <c r="B71">
        <v>112</v>
      </c>
      <c r="C71" t="s">
        <v>176</v>
      </c>
      <c r="D71" t="s">
        <v>69</v>
      </c>
      <c r="E71" t="s">
        <v>619</v>
      </c>
      <c r="F71" t="s">
        <v>620</v>
      </c>
      <c r="G71" t="s">
        <v>677</v>
      </c>
      <c r="H71" t="s">
        <v>412</v>
      </c>
      <c r="I71">
        <v>383</v>
      </c>
      <c r="J71">
        <v>34</v>
      </c>
      <c r="K71" t="s">
        <v>414</v>
      </c>
      <c r="L71">
        <v>8205</v>
      </c>
      <c r="M71" t="s">
        <v>361</v>
      </c>
      <c r="N71" t="s">
        <v>419</v>
      </c>
      <c r="O71">
        <v>1</v>
      </c>
      <c r="P71">
        <v>2</v>
      </c>
      <c r="Q71">
        <v>-99</v>
      </c>
      <c r="R71" t="s">
        <v>699</v>
      </c>
    </row>
    <row r="72" spans="1:18" x14ac:dyDescent="0.2">
      <c r="A72">
        <v>71</v>
      </c>
      <c r="B72">
        <v>113</v>
      </c>
      <c r="C72" t="s">
        <v>177</v>
      </c>
      <c r="D72" t="s">
        <v>82</v>
      </c>
      <c r="E72" t="s">
        <v>621</v>
      </c>
      <c r="F72" t="s">
        <v>622</v>
      </c>
      <c r="G72" t="s">
        <v>675</v>
      </c>
      <c r="H72" t="s">
        <v>396</v>
      </c>
      <c r="I72">
        <v>382</v>
      </c>
      <c r="J72">
        <v>33</v>
      </c>
      <c r="K72" t="s">
        <v>395</v>
      </c>
      <c r="L72">
        <v>8206</v>
      </c>
      <c r="M72" t="s">
        <v>337</v>
      </c>
      <c r="N72" t="s">
        <v>420</v>
      </c>
      <c r="O72">
        <v>1</v>
      </c>
      <c r="P72">
        <v>2</v>
      </c>
      <c r="Q72">
        <v>-99</v>
      </c>
      <c r="R72" t="s">
        <v>699</v>
      </c>
    </row>
    <row r="73" spans="1:18" x14ac:dyDescent="0.2">
      <c r="A73">
        <v>72</v>
      </c>
      <c r="B73">
        <v>114</v>
      </c>
      <c r="C73" t="s">
        <v>178</v>
      </c>
      <c r="D73" t="s">
        <v>54</v>
      </c>
      <c r="E73" t="s">
        <v>623</v>
      </c>
      <c r="F73" t="s">
        <v>624</v>
      </c>
      <c r="G73" t="s">
        <v>675</v>
      </c>
      <c r="H73" t="s">
        <v>396</v>
      </c>
      <c r="I73">
        <v>382</v>
      </c>
      <c r="J73">
        <v>33</v>
      </c>
      <c r="K73" t="s">
        <v>395</v>
      </c>
      <c r="L73">
        <v>8207</v>
      </c>
      <c r="M73" t="s">
        <v>325</v>
      </c>
      <c r="N73" t="s">
        <v>421</v>
      </c>
      <c r="O73">
        <v>1</v>
      </c>
      <c r="P73">
        <v>2</v>
      </c>
      <c r="Q73">
        <v>-99</v>
      </c>
      <c r="R73" t="s">
        <v>699</v>
      </c>
    </row>
    <row r="74" spans="1:18" x14ac:dyDescent="0.2">
      <c r="A74">
        <v>73</v>
      </c>
      <c r="B74">
        <v>115</v>
      </c>
      <c r="C74" t="s">
        <v>179</v>
      </c>
      <c r="D74" t="s">
        <v>27</v>
      </c>
      <c r="E74" t="s">
        <v>625</v>
      </c>
      <c r="F74" t="s">
        <v>626</v>
      </c>
      <c r="G74" t="s">
        <v>675</v>
      </c>
      <c r="H74" t="s">
        <v>396</v>
      </c>
      <c r="I74">
        <v>382</v>
      </c>
      <c r="J74">
        <v>33</v>
      </c>
      <c r="K74" t="s">
        <v>395</v>
      </c>
      <c r="L74">
        <v>8208</v>
      </c>
      <c r="M74" t="s">
        <v>348</v>
      </c>
      <c r="N74" t="s">
        <v>422</v>
      </c>
      <c r="O74">
        <v>1</v>
      </c>
      <c r="P74">
        <v>2</v>
      </c>
      <c r="Q74">
        <v>-99</v>
      </c>
      <c r="R74" t="s">
        <v>699</v>
      </c>
    </row>
    <row r="75" spans="1:18" x14ac:dyDescent="0.2">
      <c r="A75">
        <v>74</v>
      </c>
      <c r="B75">
        <v>116</v>
      </c>
      <c r="C75" t="s">
        <v>180</v>
      </c>
      <c r="D75" t="s">
        <v>71</v>
      </c>
      <c r="E75" t="s">
        <v>627</v>
      </c>
      <c r="F75" t="s">
        <v>628</v>
      </c>
      <c r="G75" t="s">
        <v>677</v>
      </c>
      <c r="H75" t="s">
        <v>412</v>
      </c>
      <c r="I75">
        <v>383</v>
      </c>
      <c r="J75">
        <v>34</v>
      </c>
      <c r="K75" t="s">
        <v>414</v>
      </c>
      <c r="L75">
        <v>8210</v>
      </c>
      <c r="M75" t="s">
        <v>338</v>
      </c>
      <c r="N75" t="s">
        <v>423</v>
      </c>
      <c r="O75">
        <v>1</v>
      </c>
      <c r="P75">
        <v>2</v>
      </c>
      <c r="Q75">
        <v>-99</v>
      </c>
      <c r="R75" t="s">
        <v>699</v>
      </c>
    </row>
    <row r="76" spans="1:18" x14ac:dyDescent="0.2">
      <c r="A76">
        <v>75</v>
      </c>
      <c r="B76">
        <v>197</v>
      </c>
      <c r="C76" t="s">
        <v>181</v>
      </c>
      <c r="D76" t="s">
        <v>75</v>
      </c>
      <c r="E76" t="s">
        <v>629</v>
      </c>
      <c r="F76" t="s">
        <v>630</v>
      </c>
      <c r="G76" t="s">
        <v>674</v>
      </c>
      <c r="H76" t="s">
        <v>387</v>
      </c>
      <c r="I76">
        <v>381</v>
      </c>
      <c r="J76">
        <v>31</v>
      </c>
      <c r="K76" t="s">
        <v>390</v>
      </c>
      <c r="L76">
        <v>8211</v>
      </c>
      <c r="M76" t="s">
        <v>341</v>
      </c>
      <c r="N76" t="s">
        <v>437</v>
      </c>
      <c r="O76">
        <v>1</v>
      </c>
      <c r="P76">
        <v>2</v>
      </c>
      <c r="Q76">
        <v>-99</v>
      </c>
      <c r="R76" t="s">
        <v>699</v>
      </c>
    </row>
    <row r="77" spans="1:18" x14ac:dyDescent="0.2">
      <c r="A77">
        <v>76</v>
      </c>
      <c r="B77">
        <v>119</v>
      </c>
      <c r="C77" t="s">
        <v>182</v>
      </c>
      <c r="D77" t="s">
        <v>58</v>
      </c>
      <c r="E77" t="s">
        <v>631</v>
      </c>
      <c r="F77" t="s">
        <v>632</v>
      </c>
      <c r="G77" t="s">
        <v>677</v>
      </c>
      <c r="H77" t="s">
        <v>412</v>
      </c>
      <c r="I77">
        <v>383</v>
      </c>
      <c r="J77">
        <v>34</v>
      </c>
      <c r="K77" t="s">
        <v>414</v>
      </c>
      <c r="L77">
        <v>8223</v>
      </c>
      <c r="M77" t="s">
        <v>633</v>
      </c>
      <c r="N77" t="s">
        <v>634</v>
      </c>
      <c r="O77">
        <v>1</v>
      </c>
      <c r="P77">
        <v>2</v>
      </c>
      <c r="Q77">
        <v>-99</v>
      </c>
      <c r="R77" t="s">
        <v>699</v>
      </c>
    </row>
    <row r="78" spans="1:18" x14ac:dyDescent="0.2">
      <c r="A78">
        <v>77</v>
      </c>
      <c r="B78">
        <v>131</v>
      </c>
      <c r="C78" t="s">
        <v>183</v>
      </c>
      <c r="D78" t="s">
        <v>49</v>
      </c>
      <c r="E78" t="s">
        <v>635</v>
      </c>
      <c r="F78" t="s">
        <v>636</v>
      </c>
      <c r="G78" t="s">
        <v>675</v>
      </c>
      <c r="H78" t="s">
        <v>396</v>
      </c>
      <c r="I78">
        <v>382</v>
      </c>
      <c r="J78">
        <v>33</v>
      </c>
      <c r="K78" t="s">
        <v>395</v>
      </c>
      <c r="L78">
        <v>8226</v>
      </c>
      <c r="M78" t="s">
        <v>337</v>
      </c>
      <c r="N78" t="s">
        <v>420</v>
      </c>
      <c r="O78">
        <v>1</v>
      </c>
      <c r="P78">
        <v>2</v>
      </c>
      <c r="Q78">
        <v>-99</v>
      </c>
      <c r="R78" t="s">
        <v>699</v>
      </c>
    </row>
    <row r="79" spans="1:18" x14ac:dyDescent="0.2">
      <c r="A79">
        <v>78</v>
      </c>
      <c r="B79">
        <v>132</v>
      </c>
      <c r="C79" t="s">
        <v>686</v>
      </c>
      <c r="D79" t="s">
        <v>440</v>
      </c>
      <c r="E79" t="s">
        <v>637</v>
      </c>
      <c r="F79" t="s">
        <v>687</v>
      </c>
      <c r="G79" t="s">
        <v>674</v>
      </c>
      <c r="H79" t="s">
        <v>387</v>
      </c>
      <c r="I79">
        <v>381</v>
      </c>
      <c r="J79">
        <v>30</v>
      </c>
      <c r="K79" t="s">
        <v>379</v>
      </c>
      <c r="L79">
        <v>8229</v>
      </c>
      <c r="M79" t="s">
        <v>356</v>
      </c>
      <c r="N79" t="s">
        <v>424</v>
      </c>
      <c r="O79">
        <v>1</v>
      </c>
      <c r="P79">
        <v>2</v>
      </c>
      <c r="Q79">
        <v>-99</v>
      </c>
      <c r="R79" t="s">
        <v>699</v>
      </c>
    </row>
    <row r="80" spans="1:18" x14ac:dyDescent="0.2">
      <c r="A80">
        <v>79</v>
      </c>
      <c r="B80">
        <v>143</v>
      </c>
      <c r="C80" t="s">
        <v>184</v>
      </c>
      <c r="D80" t="s">
        <v>57</v>
      </c>
      <c r="E80" t="s">
        <v>638</v>
      </c>
      <c r="F80" t="s">
        <v>639</v>
      </c>
      <c r="G80" t="s">
        <v>673</v>
      </c>
      <c r="H80" t="s">
        <v>380</v>
      </c>
      <c r="I80">
        <v>380</v>
      </c>
      <c r="J80">
        <v>30</v>
      </c>
      <c r="K80" t="s">
        <v>379</v>
      </c>
      <c r="L80">
        <v>8230</v>
      </c>
      <c r="M80" t="s">
        <v>369</v>
      </c>
      <c r="N80" t="s">
        <v>425</v>
      </c>
      <c r="O80">
        <v>1</v>
      </c>
      <c r="P80">
        <v>2</v>
      </c>
      <c r="Q80">
        <v>-99</v>
      </c>
      <c r="R80" t="s">
        <v>699</v>
      </c>
    </row>
    <row r="81" spans="1:18" x14ac:dyDescent="0.2">
      <c r="A81">
        <v>80</v>
      </c>
      <c r="B81">
        <v>144</v>
      </c>
      <c r="C81" t="s">
        <v>688</v>
      </c>
      <c r="D81" t="s">
        <v>499</v>
      </c>
      <c r="E81" t="s">
        <v>688</v>
      </c>
      <c r="F81" t="s">
        <v>499</v>
      </c>
      <c r="G81" t="s">
        <v>685</v>
      </c>
      <c r="H81" t="s">
        <v>8</v>
      </c>
      <c r="I81">
        <v>-99</v>
      </c>
      <c r="J81">
        <v>35</v>
      </c>
      <c r="K81" t="s">
        <v>8</v>
      </c>
      <c r="L81">
        <v>8215</v>
      </c>
      <c r="M81" t="s">
        <v>349</v>
      </c>
      <c r="N81" t="s">
        <v>407</v>
      </c>
      <c r="O81">
        <v>1</v>
      </c>
      <c r="P81">
        <v>2</v>
      </c>
      <c r="Q81">
        <v>-99</v>
      </c>
      <c r="R81" t="s">
        <v>671</v>
      </c>
    </row>
    <row r="82" spans="1:18" x14ac:dyDescent="0.2">
      <c r="A82">
        <v>81</v>
      </c>
      <c r="B82">
        <v>145</v>
      </c>
      <c r="C82" t="s">
        <v>185</v>
      </c>
      <c r="D82" t="s">
        <v>74</v>
      </c>
      <c r="E82" t="s">
        <v>640</v>
      </c>
      <c r="F82" t="s">
        <v>641</v>
      </c>
      <c r="G82" t="s">
        <v>677</v>
      </c>
      <c r="H82" t="s">
        <v>412</v>
      </c>
      <c r="I82">
        <v>383</v>
      </c>
      <c r="J82">
        <v>34</v>
      </c>
      <c r="K82" t="s">
        <v>414</v>
      </c>
      <c r="L82">
        <v>8231</v>
      </c>
      <c r="M82" t="s">
        <v>342</v>
      </c>
      <c r="N82" t="s">
        <v>417</v>
      </c>
      <c r="O82">
        <v>1</v>
      </c>
      <c r="P82">
        <v>1</v>
      </c>
      <c r="Q82">
        <v>-99</v>
      </c>
      <c r="R82" t="s">
        <v>699</v>
      </c>
    </row>
    <row r="83" spans="1:18" x14ac:dyDescent="0.2">
      <c r="A83">
        <v>82</v>
      </c>
      <c r="B83">
        <v>-99</v>
      </c>
      <c r="C83" t="s">
        <v>185</v>
      </c>
      <c r="D83" t="s">
        <v>74</v>
      </c>
      <c r="E83" t="s">
        <v>642</v>
      </c>
      <c r="F83" t="s">
        <v>978</v>
      </c>
      <c r="G83" t="s">
        <v>677</v>
      </c>
      <c r="H83" t="s">
        <v>412</v>
      </c>
      <c r="I83">
        <v>383</v>
      </c>
      <c r="J83">
        <v>34</v>
      </c>
      <c r="K83" t="s">
        <v>414</v>
      </c>
      <c r="L83">
        <v>8231</v>
      </c>
      <c r="M83" t="s">
        <v>342</v>
      </c>
      <c r="N83" t="s">
        <v>417</v>
      </c>
      <c r="O83">
        <v>-99</v>
      </c>
      <c r="P83">
        <v>1</v>
      </c>
      <c r="Q83">
        <v>-99</v>
      </c>
      <c r="R83" t="s">
        <v>697</v>
      </c>
    </row>
    <row r="84" spans="1:18" x14ac:dyDescent="0.2">
      <c r="A84">
        <v>83</v>
      </c>
      <c r="B84">
        <v>151</v>
      </c>
      <c r="C84" t="s">
        <v>689</v>
      </c>
      <c r="D84" t="s">
        <v>8</v>
      </c>
      <c r="E84" t="s">
        <v>689</v>
      </c>
      <c r="F84" t="s">
        <v>500</v>
      </c>
      <c r="G84" t="s">
        <v>685</v>
      </c>
      <c r="H84" t="s">
        <v>8</v>
      </c>
      <c r="I84">
        <v>380</v>
      </c>
      <c r="J84">
        <v>35</v>
      </c>
      <c r="K84" t="s">
        <v>8</v>
      </c>
      <c r="L84">
        <v>3180155</v>
      </c>
      <c r="M84" t="s">
        <v>356</v>
      </c>
      <c r="N84" t="s">
        <v>424</v>
      </c>
      <c r="O84">
        <v>1</v>
      </c>
      <c r="P84">
        <v>2</v>
      </c>
      <c r="Q84">
        <v>-99</v>
      </c>
      <c r="R84" t="s">
        <v>671</v>
      </c>
    </row>
    <row r="85" spans="1:18" x14ac:dyDescent="0.2">
      <c r="A85">
        <v>84</v>
      </c>
      <c r="B85">
        <v>152</v>
      </c>
      <c r="C85" t="s">
        <v>186</v>
      </c>
      <c r="D85" t="s">
        <v>81</v>
      </c>
      <c r="E85" t="s">
        <v>643</v>
      </c>
      <c r="F85" t="s">
        <v>644</v>
      </c>
      <c r="G85" t="s">
        <v>673</v>
      </c>
      <c r="H85" t="s">
        <v>380</v>
      </c>
      <c r="I85">
        <v>380</v>
      </c>
      <c r="J85">
        <v>30</v>
      </c>
      <c r="K85" t="s">
        <v>379</v>
      </c>
      <c r="L85">
        <v>8234</v>
      </c>
      <c r="M85" t="s">
        <v>362</v>
      </c>
      <c r="N85" t="s">
        <v>426</v>
      </c>
      <c r="O85">
        <v>1</v>
      </c>
      <c r="P85">
        <v>2</v>
      </c>
      <c r="Q85">
        <v>-99</v>
      </c>
      <c r="R85" t="s">
        <v>699</v>
      </c>
    </row>
    <row r="86" spans="1:18" x14ac:dyDescent="0.2">
      <c r="A86">
        <v>85</v>
      </c>
      <c r="B86">
        <v>153</v>
      </c>
      <c r="C86" t="s">
        <v>92</v>
      </c>
      <c r="D86" t="s">
        <v>141</v>
      </c>
      <c r="E86" t="s">
        <v>645</v>
      </c>
      <c r="F86" t="s">
        <v>646</v>
      </c>
      <c r="G86" t="s">
        <v>673</v>
      </c>
      <c r="H86" t="s">
        <v>380</v>
      </c>
      <c r="I86">
        <v>380</v>
      </c>
      <c r="J86">
        <v>30</v>
      </c>
      <c r="K86" t="s">
        <v>379</v>
      </c>
      <c r="L86">
        <v>8236</v>
      </c>
      <c r="M86" t="s">
        <v>375</v>
      </c>
      <c r="N86" t="s">
        <v>427</v>
      </c>
      <c r="O86">
        <v>1</v>
      </c>
      <c r="P86">
        <v>2</v>
      </c>
      <c r="Q86">
        <v>-99</v>
      </c>
      <c r="R86" t="s">
        <v>699</v>
      </c>
    </row>
    <row r="87" spans="1:18" x14ac:dyDescent="0.2">
      <c r="A87">
        <v>86</v>
      </c>
      <c r="B87">
        <v>154</v>
      </c>
      <c r="C87" t="s">
        <v>188</v>
      </c>
      <c r="D87" t="s">
        <v>187</v>
      </c>
      <c r="E87" t="s">
        <v>647</v>
      </c>
      <c r="F87" t="s">
        <v>648</v>
      </c>
      <c r="G87" t="s">
        <v>677</v>
      </c>
      <c r="H87" t="s">
        <v>412</v>
      </c>
      <c r="I87">
        <v>383</v>
      </c>
      <c r="J87">
        <v>33</v>
      </c>
      <c r="K87" t="s">
        <v>395</v>
      </c>
      <c r="L87">
        <v>8265</v>
      </c>
      <c r="M87" t="s">
        <v>368</v>
      </c>
      <c r="N87" t="s">
        <v>428</v>
      </c>
      <c r="O87">
        <v>1</v>
      </c>
      <c r="P87">
        <v>2</v>
      </c>
      <c r="Q87">
        <v>-99</v>
      </c>
      <c r="R87" t="s">
        <v>699</v>
      </c>
    </row>
    <row r="88" spans="1:18" x14ac:dyDescent="0.2">
      <c r="A88">
        <v>87</v>
      </c>
      <c r="B88">
        <v>155</v>
      </c>
      <c r="C88" t="s">
        <v>189</v>
      </c>
      <c r="D88" t="s">
        <v>46</v>
      </c>
      <c r="E88" t="s">
        <v>649</v>
      </c>
      <c r="F88" t="s">
        <v>650</v>
      </c>
      <c r="G88" t="s">
        <v>675</v>
      </c>
      <c r="H88" t="s">
        <v>396</v>
      </c>
      <c r="I88">
        <v>382</v>
      </c>
      <c r="J88">
        <v>32</v>
      </c>
      <c r="K88" t="s">
        <v>400</v>
      </c>
      <c r="L88">
        <v>8266</v>
      </c>
      <c r="M88" t="s">
        <v>333</v>
      </c>
      <c r="N88" t="s">
        <v>429</v>
      </c>
      <c r="O88">
        <v>1</v>
      </c>
      <c r="P88">
        <v>2</v>
      </c>
      <c r="Q88">
        <v>-99</v>
      </c>
      <c r="R88" t="s">
        <v>699</v>
      </c>
    </row>
    <row r="89" spans="1:18" x14ac:dyDescent="0.2">
      <c r="A89">
        <v>88</v>
      </c>
      <c r="B89">
        <v>156</v>
      </c>
      <c r="C89" t="s">
        <v>190</v>
      </c>
      <c r="D89" t="s">
        <v>77</v>
      </c>
      <c r="E89" t="s">
        <v>651</v>
      </c>
      <c r="F89" t="s">
        <v>652</v>
      </c>
      <c r="G89" t="s">
        <v>675</v>
      </c>
      <c r="H89" t="s">
        <v>396</v>
      </c>
      <c r="I89">
        <v>382</v>
      </c>
      <c r="J89">
        <v>32</v>
      </c>
      <c r="K89" t="s">
        <v>400</v>
      </c>
      <c r="L89">
        <v>8267</v>
      </c>
      <c r="M89" t="s">
        <v>351</v>
      </c>
      <c r="N89" t="s">
        <v>430</v>
      </c>
      <c r="O89">
        <v>1</v>
      </c>
      <c r="P89">
        <v>2</v>
      </c>
      <c r="Q89">
        <v>-99</v>
      </c>
      <c r="R89" t="s">
        <v>699</v>
      </c>
    </row>
    <row r="90" spans="1:18" x14ac:dyDescent="0.2">
      <c r="A90">
        <v>89</v>
      </c>
      <c r="B90">
        <v>157</v>
      </c>
      <c r="C90" t="s">
        <v>690</v>
      </c>
      <c r="D90" t="s">
        <v>39</v>
      </c>
      <c r="E90" t="s">
        <v>653</v>
      </c>
      <c r="F90" t="s">
        <v>654</v>
      </c>
      <c r="G90" t="s">
        <v>677</v>
      </c>
      <c r="H90" t="s">
        <v>412</v>
      </c>
      <c r="I90">
        <v>383</v>
      </c>
      <c r="J90">
        <v>33</v>
      </c>
      <c r="K90" t="s">
        <v>395</v>
      </c>
      <c r="L90">
        <v>8271</v>
      </c>
      <c r="M90" t="s">
        <v>329</v>
      </c>
      <c r="N90" t="s">
        <v>431</v>
      </c>
      <c r="O90">
        <v>1</v>
      </c>
      <c r="P90">
        <v>2</v>
      </c>
      <c r="Q90">
        <v>-99</v>
      </c>
      <c r="R90" t="s">
        <v>699</v>
      </c>
    </row>
    <row r="91" spans="1:18" x14ac:dyDescent="0.2">
      <c r="A91">
        <v>90</v>
      </c>
      <c r="B91">
        <v>158</v>
      </c>
      <c r="C91" t="s">
        <v>191</v>
      </c>
      <c r="D91" t="s">
        <v>84</v>
      </c>
      <c r="E91" t="s">
        <v>655</v>
      </c>
      <c r="F91" t="s">
        <v>656</v>
      </c>
      <c r="G91" t="s">
        <v>675</v>
      </c>
      <c r="H91" t="s">
        <v>396</v>
      </c>
      <c r="I91">
        <v>382</v>
      </c>
      <c r="J91">
        <v>32</v>
      </c>
      <c r="K91" t="s">
        <v>400</v>
      </c>
      <c r="L91">
        <v>8209</v>
      </c>
      <c r="M91" t="s">
        <v>374</v>
      </c>
      <c r="N91" t="s">
        <v>432</v>
      </c>
      <c r="O91">
        <v>1</v>
      </c>
      <c r="P91">
        <v>2</v>
      </c>
      <c r="Q91">
        <v>-99</v>
      </c>
      <c r="R91" t="s">
        <v>699</v>
      </c>
    </row>
    <row r="92" spans="1:18" x14ac:dyDescent="0.2">
      <c r="A92">
        <v>91</v>
      </c>
      <c r="B92">
        <v>198</v>
      </c>
      <c r="C92" t="s">
        <v>192</v>
      </c>
      <c r="D92" t="s">
        <v>48</v>
      </c>
      <c r="E92" t="s">
        <v>657</v>
      </c>
      <c r="F92" t="s">
        <v>658</v>
      </c>
      <c r="G92" t="s">
        <v>677</v>
      </c>
      <c r="H92" t="s">
        <v>412</v>
      </c>
      <c r="I92">
        <v>383</v>
      </c>
      <c r="J92">
        <v>34</v>
      </c>
      <c r="K92" t="s">
        <v>414</v>
      </c>
      <c r="L92">
        <v>8224</v>
      </c>
      <c r="M92" t="s">
        <v>371</v>
      </c>
      <c r="N92" t="s">
        <v>438</v>
      </c>
      <c r="O92">
        <v>1</v>
      </c>
      <c r="P92">
        <v>2</v>
      </c>
      <c r="Q92">
        <v>-99</v>
      </c>
      <c r="R92" t="s">
        <v>699</v>
      </c>
    </row>
    <row r="93" spans="1:18" x14ac:dyDescent="0.2">
      <c r="A93">
        <v>92</v>
      </c>
      <c r="B93">
        <v>161</v>
      </c>
      <c r="C93" t="s">
        <v>193</v>
      </c>
      <c r="D93" t="s">
        <v>85</v>
      </c>
      <c r="E93" t="s">
        <v>659</v>
      </c>
      <c r="F93" t="s">
        <v>660</v>
      </c>
      <c r="G93" t="s">
        <v>673</v>
      </c>
      <c r="H93" t="s">
        <v>380</v>
      </c>
      <c r="I93">
        <v>380</v>
      </c>
      <c r="J93">
        <v>30</v>
      </c>
      <c r="K93" t="s">
        <v>379</v>
      </c>
      <c r="L93">
        <v>8225</v>
      </c>
      <c r="M93" t="s">
        <v>334</v>
      </c>
      <c r="N93" t="s">
        <v>433</v>
      </c>
      <c r="O93">
        <v>1</v>
      </c>
      <c r="P93">
        <v>2</v>
      </c>
      <c r="Q93">
        <v>-99</v>
      </c>
      <c r="R93" t="s">
        <v>699</v>
      </c>
    </row>
    <row r="94" spans="1:18" x14ac:dyDescent="0.2">
      <c r="A94">
        <v>93</v>
      </c>
      <c r="B94">
        <v>162</v>
      </c>
      <c r="C94" t="s">
        <v>194</v>
      </c>
      <c r="D94" t="s">
        <v>35</v>
      </c>
      <c r="E94" t="s">
        <v>661</v>
      </c>
      <c r="F94" t="s">
        <v>662</v>
      </c>
      <c r="G94" t="s">
        <v>677</v>
      </c>
      <c r="H94" t="s">
        <v>412</v>
      </c>
      <c r="I94">
        <v>383</v>
      </c>
      <c r="J94">
        <v>34</v>
      </c>
      <c r="K94" t="s">
        <v>414</v>
      </c>
      <c r="L94">
        <v>8227</v>
      </c>
      <c r="M94" t="s">
        <v>487</v>
      </c>
      <c r="N94" t="s">
        <v>434</v>
      </c>
      <c r="O94">
        <v>1</v>
      </c>
      <c r="P94">
        <v>2</v>
      </c>
      <c r="Q94">
        <v>-99</v>
      </c>
      <c r="R94" t="s">
        <v>699</v>
      </c>
    </row>
    <row r="95" spans="1:18" x14ac:dyDescent="0.2">
      <c r="A95">
        <v>94</v>
      </c>
      <c r="B95">
        <v>-99</v>
      </c>
      <c r="C95" t="s">
        <v>691</v>
      </c>
      <c r="D95" t="s">
        <v>8</v>
      </c>
      <c r="E95" t="s">
        <v>692</v>
      </c>
      <c r="F95" t="s">
        <v>232</v>
      </c>
      <c r="G95" t="s">
        <v>671</v>
      </c>
      <c r="H95" t="s">
        <v>8</v>
      </c>
      <c r="I95">
        <v>-99</v>
      </c>
      <c r="J95">
        <v>-99</v>
      </c>
      <c r="K95" t="s">
        <v>8</v>
      </c>
      <c r="L95">
        <v>-99</v>
      </c>
      <c r="M95" t="s">
        <v>671</v>
      </c>
      <c r="N95" t="s">
        <v>671</v>
      </c>
      <c r="O95">
        <v>-99</v>
      </c>
      <c r="P95">
        <v>-99</v>
      </c>
      <c r="Q95">
        <v>-99</v>
      </c>
      <c r="R95" t="s">
        <v>216</v>
      </c>
    </row>
    <row r="96" spans="1:18" x14ac:dyDescent="0.2">
      <c r="A96">
        <v>95</v>
      </c>
      <c r="B96">
        <v>-99</v>
      </c>
      <c r="C96" t="s">
        <v>691</v>
      </c>
      <c r="D96" t="s">
        <v>8</v>
      </c>
      <c r="E96" t="s">
        <v>693</v>
      </c>
      <c r="F96" t="s">
        <v>317</v>
      </c>
      <c r="G96" t="s">
        <v>671</v>
      </c>
      <c r="H96" t="s">
        <v>8</v>
      </c>
      <c r="I96">
        <v>-99</v>
      </c>
      <c r="J96">
        <v>-99</v>
      </c>
      <c r="K96" t="s">
        <v>8</v>
      </c>
      <c r="L96">
        <v>-99</v>
      </c>
      <c r="M96" t="s">
        <v>671</v>
      </c>
      <c r="N96" t="s">
        <v>671</v>
      </c>
      <c r="O96">
        <v>-99</v>
      </c>
      <c r="P96">
        <v>-99</v>
      </c>
      <c r="Q96">
        <v>-99</v>
      </c>
      <c r="R96" t="s">
        <v>696</v>
      </c>
    </row>
    <row r="97" spans="1:18" x14ac:dyDescent="0.2">
      <c r="A97">
        <v>96</v>
      </c>
      <c r="B97">
        <v>-99</v>
      </c>
      <c r="C97" t="s">
        <v>691</v>
      </c>
      <c r="D97" t="s">
        <v>8</v>
      </c>
      <c r="E97" t="s">
        <v>694</v>
      </c>
      <c r="F97" t="s">
        <v>316</v>
      </c>
      <c r="G97" t="s">
        <v>671</v>
      </c>
      <c r="H97" t="s">
        <v>8</v>
      </c>
      <c r="I97">
        <v>-99</v>
      </c>
      <c r="J97">
        <v>-99</v>
      </c>
      <c r="K97" t="s">
        <v>8</v>
      </c>
      <c r="L97">
        <v>-99</v>
      </c>
      <c r="M97" t="s">
        <v>671</v>
      </c>
      <c r="N97" t="s">
        <v>671</v>
      </c>
      <c r="O97">
        <v>-99</v>
      </c>
      <c r="P97">
        <v>-99</v>
      </c>
      <c r="Q97">
        <v>-99</v>
      </c>
      <c r="R97" t="s">
        <v>697</v>
      </c>
    </row>
    <row r="98" spans="1:18" x14ac:dyDescent="0.2">
      <c r="A98">
        <v>97</v>
      </c>
      <c r="B98">
        <v>-99</v>
      </c>
      <c r="C98" t="s">
        <v>691</v>
      </c>
      <c r="D98" t="s">
        <v>8</v>
      </c>
      <c r="E98" t="s">
        <v>691</v>
      </c>
      <c r="F98" t="s">
        <v>8</v>
      </c>
      <c r="G98" t="s">
        <v>671</v>
      </c>
      <c r="H98" t="s">
        <v>8</v>
      </c>
      <c r="I98">
        <v>-99</v>
      </c>
      <c r="J98">
        <v>-99</v>
      </c>
      <c r="K98" t="s">
        <v>8</v>
      </c>
      <c r="L98">
        <v>-99</v>
      </c>
      <c r="M98" t="s">
        <v>671</v>
      </c>
      <c r="N98" t="s">
        <v>671</v>
      </c>
      <c r="O98">
        <v>-99</v>
      </c>
      <c r="P98">
        <v>-99</v>
      </c>
      <c r="Q98">
        <v>-99</v>
      </c>
      <c r="R98" t="s">
        <v>671</v>
      </c>
    </row>
    <row r="99" spans="1:18" x14ac:dyDescent="0.2">
      <c r="A99">
        <v>98</v>
      </c>
      <c r="B99">
        <v>-99</v>
      </c>
      <c r="C99" t="s">
        <v>691</v>
      </c>
      <c r="D99" t="s">
        <v>8</v>
      </c>
      <c r="E99" t="s">
        <v>702</v>
      </c>
      <c r="F99" t="s">
        <v>703</v>
      </c>
      <c r="G99" t="s">
        <v>671</v>
      </c>
      <c r="H99" t="s">
        <v>8</v>
      </c>
      <c r="I99">
        <v>-99</v>
      </c>
      <c r="J99">
        <v>-99</v>
      </c>
      <c r="K99" t="s">
        <v>8</v>
      </c>
      <c r="L99">
        <v>-99</v>
      </c>
      <c r="M99" t="s">
        <v>671</v>
      </c>
      <c r="N99" t="s">
        <v>671</v>
      </c>
      <c r="O99">
        <v>-99</v>
      </c>
      <c r="P99">
        <v>-99</v>
      </c>
      <c r="Q99">
        <v>-99</v>
      </c>
      <c r="R99" t="s">
        <v>699</v>
      </c>
    </row>
    <row r="100" spans="1:18" x14ac:dyDescent="0.2">
      <c r="A100">
        <v>99</v>
      </c>
      <c r="B100">
        <v>250</v>
      </c>
      <c r="C100" t="s">
        <v>671</v>
      </c>
      <c r="D100" t="s">
        <v>35</v>
      </c>
      <c r="E100" t="s">
        <v>738</v>
      </c>
      <c r="F100" t="s">
        <v>704</v>
      </c>
      <c r="G100" t="s">
        <v>671</v>
      </c>
      <c r="H100" t="s">
        <v>412</v>
      </c>
      <c r="I100">
        <v>-99</v>
      </c>
      <c r="J100">
        <v>-99</v>
      </c>
      <c r="K100" t="s">
        <v>414</v>
      </c>
      <c r="L100">
        <v>-99</v>
      </c>
      <c r="M100" t="s">
        <v>671</v>
      </c>
      <c r="N100" t="s">
        <v>671</v>
      </c>
      <c r="O100">
        <v>-99</v>
      </c>
      <c r="P100">
        <v>-99</v>
      </c>
      <c r="Q100">
        <v>-99</v>
      </c>
      <c r="R100" t="s">
        <v>705</v>
      </c>
    </row>
    <row r="101" spans="1:18" x14ac:dyDescent="0.2">
      <c r="A101">
        <v>100</v>
      </c>
      <c r="B101">
        <v>256</v>
      </c>
      <c r="C101" t="s">
        <v>671</v>
      </c>
      <c r="D101" t="s">
        <v>220</v>
      </c>
      <c r="E101" t="s">
        <v>739</v>
      </c>
      <c r="F101" t="s">
        <v>706</v>
      </c>
      <c r="G101" t="s">
        <v>671</v>
      </c>
      <c r="H101" t="s">
        <v>396</v>
      </c>
      <c r="I101">
        <v>-99</v>
      </c>
      <c r="J101">
        <v>-99</v>
      </c>
      <c r="K101" t="s">
        <v>400</v>
      </c>
      <c r="L101">
        <v>-99</v>
      </c>
      <c r="M101" t="s">
        <v>671</v>
      </c>
      <c r="N101" t="s">
        <v>671</v>
      </c>
      <c r="O101">
        <v>-99</v>
      </c>
      <c r="P101">
        <v>-99</v>
      </c>
      <c r="Q101">
        <v>-99</v>
      </c>
      <c r="R101" t="s">
        <v>705</v>
      </c>
    </row>
    <row r="102" spans="1:18" x14ac:dyDescent="0.2">
      <c r="A102">
        <v>101</v>
      </c>
      <c r="B102">
        <v>257</v>
      </c>
      <c r="C102" t="s">
        <v>671</v>
      </c>
      <c r="D102" t="s">
        <v>217</v>
      </c>
      <c r="E102" t="s">
        <v>740</v>
      </c>
      <c r="F102" t="s">
        <v>707</v>
      </c>
      <c r="G102" t="s">
        <v>671</v>
      </c>
      <c r="H102" t="s">
        <v>396</v>
      </c>
      <c r="I102">
        <v>-99</v>
      </c>
      <c r="J102">
        <v>-99</v>
      </c>
      <c r="K102" t="s">
        <v>400</v>
      </c>
      <c r="L102">
        <v>-99</v>
      </c>
      <c r="M102" t="s">
        <v>671</v>
      </c>
      <c r="N102" t="s">
        <v>671</v>
      </c>
      <c r="O102">
        <v>-99</v>
      </c>
      <c r="P102">
        <v>-99</v>
      </c>
      <c r="Q102">
        <v>-99</v>
      </c>
      <c r="R102" t="s">
        <v>705</v>
      </c>
    </row>
    <row r="103" spans="1:18" x14ac:dyDescent="0.2">
      <c r="A103">
        <v>102</v>
      </c>
      <c r="B103">
        <v>258</v>
      </c>
      <c r="C103" t="s">
        <v>671</v>
      </c>
      <c r="D103" t="s">
        <v>218</v>
      </c>
      <c r="E103" t="s">
        <v>741</v>
      </c>
      <c r="F103" t="s">
        <v>708</v>
      </c>
      <c r="G103" t="s">
        <v>671</v>
      </c>
      <c r="H103" t="s">
        <v>380</v>
      </c>
      <c r="I103">
        <v>-99</v>
      </c>
      <c r="J103">
        <v>-99</v>
      </c>
      <c r="K103" t="s">
        <v>379</v>
      </c>
      <c r="L103">
        <v>-99</v>
      </c>
      <c r="M103" t="s">
        <v>671</v>
      </c>
      <c r="N103" t="s">
        <v>671</v>
      </c>
      <c r="O103">
        <v>-99</v>
      </c>
      <c r="P103">
        <v>-99</v>
      </c>
      <c r="Q103">
        <v>-99</v>
      </c>
      <c r="R103" t="s">
        <v>705</v>
      </c>
    </row>
    <row r="104" spans="1:18" x14ac:dyDescent="0.2">
      <c r="A104">
        <v>103</v>
      </c>
      <c r="B104">
        <v>259</v>
      </c>
      <c r="C104" t="s">
        <v>671</v>
      </c>
      <c r="D104" t="s">
        <v>141</v>
      </c>
      <c r="E104" t="s">
        <v>742</v>
      </c>
      <c r="F104" t="s">
        <v>709</v>
      </c>
      <c r="G104" t="s">
        <v>671</v>
      </c>
      <c r="H104" t="s">
        <v>380</v>
      </c>
      <c r="I104">
        <v>-99</v>
      </c>
      <c r="J104">
        <v>-99</v>
      </c>
      <c r="K104" t="s">
        <v>379</v>
      </c>
      <c r="L104">
        <v>-99</v>
      </c>
      <c r="M104" t="s">
        <v>671</v>
      </c>
      <c r="N104" t="s">
        <v>671</v>
      </c>
      <c r="O104">
        <v>-99</v>
      </c>
      <c r="P104">
        <v>-99</v>
      </c>
      <c r="Q104">
        <v>-99</v>
      </c>
      <c r="R104" t="s">
        <v>705</v>
      </c>
    </row>
    <row r="105" spans="1:18" x14ac:dyDescent="0.2">
      <c r="A105">
        <v>104</v>
      </c>
      <c r="B105">
        <v>260</v>
      </c>
      <c r="C105" t="s">
        <v>671</v>
      </c>
      <c r="D105" t="s">
        <v>49</v>
      </c>
      <c r="E105" t="s">
        <v>743</v>
      </c>
      <c r="F105" t="s">
        <v>710</v>
      </c>
      <c r="G105" t="s">
        <v>671</v>
      </c>
      <c r="H105" t="s">
        <v>396</v>
      </c>
      <c r="I105">
        <v>-99</v>
      </c>
      <c r="J105">
        <v>-99</v>
      </c>
      <c r="K105" t="s">
        <v>395</v>
      </c>
      <c r="L105">
        <v>-99</v>
      </c>
      <c r="M105" t="s">
        <v>671</v>
      </c>
      <c r="N105" t="s">
        <v>671</v>
      </c>
      <c r="O105">
        <v>-99</v>
      </c>
      <c r="P105">
        <v>-99</v>
      </c>
      <c r="Q105">
        <v>-99</v>
      </c>
      <c r="R105" t="s">
        <v>705</v>
      </c>
    </row>
    <row r="106" spans="1:18" x14ac:dyDescent="0.2">
      <c r="A106">
        <v>105</v>
      </c>
      <c r="B106">
        <v>261</v>
      </c>
      <c r="C106" t="s">
        <v>671</v>
      </c>
      <c r="D106" t="s">
        <v>68</v>
      </c>
      <c r="E106" t="s">
        <v>744</v>
      </c>
      <c r="F106" t="s">
        <v>711</v>
      </c>
      <c r="G106" t="s">
        <v>671</v>
      </c>
      <c r="H106" t="s">
        <v>380</v>
      </c>
      <c r="I106">
        <v>-99</v>
      </c>
      <c r="J106">
        <v>-99</v>
      </c>
      <c r="K106" t="s">
        <v>379</v>
      </c>
      <c r="L106">
        <v>-99</v>
      </c>
      <c r="M106" t="s">
        <v>671</v>
      </c>
      <c r="N106" t="s">
        <v>671</v>
      </c>
      <c r="O106">
        <v>-99</v>
      </c>
      <c r="P106">
        <v>-99</v>
      </c>
      <c r="Q106">
        <v>-99</v>
      </c>
      <c r="R106" t="s">
        <v>705</v>
      </c>
    </row>
  </sheetData>
  <sheetProtection autoFilter="0"/>
  <conditionalFormatting sqref="A2:A106">
    <cfRule type="duplicateValues" dxfId="16" priority="2"/>
  </conditionalFormatting>
  <conditionalFormatting sqref="B2:B106">
    <cfRule type="duplicateValues" dxfId="15"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4"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1058</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654</v>
      </c>
      <c r="D11" t="s">
        <v>601</v>
      </c>
      <c r="E11" t="s">
        <v>648</v>
      </c>
      <c r="F11" t="s">
        <v>636</v>
      </c>
      <c r="G11" t="s">
        <v>572</v>
      </c>
      <c r="H11" t="s">
        <v>624</v>
      </c>
      <c r="I11" t="s">
        <v>626</v>
      </c>
      <c r="J11" t="s">
        <v>568</v>
      </c>
      <c r="K11" t="s">
        <v>605</v>
      </c>
      <c r="L11" t="s">
        <v>622</v>
      </c>
      <c r="M11" t="s">
        <v>461</v>
      </c>
      <c r="N11" t="s">
        <v>461</v>
      </c>
      <c r="O11" t="s">
        <v>461</v>
      </c>
      <c r="P11" t="s">
        <v>461</v>
      </c>
      <c r="Q11" t="s">
        <v>461</v>
      </c>
      <c r="R11" t="s">
        <v>461</v>
      </c>
    </row>
    <row r="12" spans="2:33" x14ac:dyDescent="0.2">
      <c r="B12" t="s">
        <v>400</v>
      </c>
      <c r="C12" t="s">
        <v>584</v>
      </c>
      <c r="D12" t="s">
        <v>576</v>
      </c>
      <c r="E12" t="s">
        <v>593</v>
      </c>
      <c r="F12" t="s">
        <v>586</v>
      </c>
      <c r="G12" t="s">
        <v>650</v>
      </c>
      <c r="H12" t="s">
        <v>578</v>
      </c>
      <c r="I12" t="s">
        <v>595</v>
      </c>
      <c r="J12" t="s">
        <v>588</v>
      </c>
      <c r="K12" t="s">
        <v>652</v>
      </c>
      <c r="L12" t="s">
        <v>591</v>
      </c>
      <c r="M12" t="s">
        <v>597</v>
      </c>
      <c r="N12" t="s">
        <v>656</v>
      </c>
      <c r="O12" t="s">
        <v>461</v>
      </c>
      <c r="P12" t="s">
        <v>461</v>
      </c>
      <c r="Q12" t="s">
        <v>461</v>
      </c>
      <c r="R12" t="s">
        <v>461</v>
      </c>
    </row>
    <row r="13" spans="2:33" x14ac:dyDescent="0.2">
      <c r="B13" t="s">
        <v>379</v>
      </c>
      <c r="C13" t="s">
        <v>550</v>
      </c>
      <c r="D13" t="s">
        <v>529</v>
      </c>
      <c r="E13" t="s">
        <v>537</v>
      </c>
      <c r="F13" t="s">
        <v>539</v>
      </c>
      <c r="G13" t="s">
        <v>554</v>
      </c>
      <c r="H13" t="s">
        <v>639</v>
      </c>
      <c r="I13" t="s">
        <v>535</v>
      </c>
      <c r="J13" t="s">
        <v>541</v>
      </c>
      <c r="K13" t="s">
        <v>543</v>
      </c>
      <c r="L13" t="s">
        <v>546</v>
      </c>
      <c r="M13" t="s">
        <v>531</v>
      </c>
      <c r="N13" t="s">
        <v>552</v>
      </c>
      <c r="O13" t="s">
        <v>644</v>
      </c>
      <c r="P13" t="s">
        <v>646</v>
      </c>
      <c r="Q13" t="s">
        <v>660</v>
      </c>
      <c r="R13" t="s">
        <v>560</v>
      </c>
    </row>
    <row r="14" spans="2:33" x14ac:dyDescent="0.2">
      <c r="B14" t="s">
        <v>414</v>
      </c>
      <c r="C14" t="s">
        <v>603</v>
      </c>
      <c r="D14" t="s">
        <v>662</v>
      </c>
      <c r="E14" t="s">
        <v>618</v>
      </c>
      <c r="F14" t="s">
        <v>658</v>
      </c>
      <c r="G14" t="s">
        <v>610</v>
      </c>
      <c r="H14" t="s">
        <v>632</v>
      </c>
      <c r="I14" t="s">
        <v>608</v>
      </c>
      <c r="J14" t="s">
        <v>612</v>
      </c>
      <c r="K14" t="s">
        <v>620</v>
      </c>
      <c r="L14" t="s">
        <v>628</v>
      </c>
      <c r="M14" t="s">
        <v>641</v>
      </c>
      <c r="N14" t="s">
        <v>614</v>
      </c>
      <c r="O14" t="s">
        <v>461</v>
      </c>
      <c r="P14" t="s">
        <v>461</v>
      </c>
      <c r="Q14" t="s">
        <v>461</v>
      </c>
      <c r="R14" t="s">
        <v>461</v>
      </c>
    </row>
    <row r="15" spans="2:33" x14ac:dyDescent="0.2">
      <c r="B15" t="s">
        <v>390</v>
      </c>
      <c r="C15" t="s">
        <v>556</v>
      </c>
      <c r="D15" t="s">
        <v>564</v>
      </c>
      <c r="E15" t="s">
        <v>580</v>
      </c>
      <c r="F15" t="s">
        <v>570</v>
      </c>
      <c r="G15" t="s">
        <v>566</v>
      </c>
      <c r="H15" t="s">
        <v>630</v>
      </c>
      <c r="I15" t="s">
        <v>558</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996</v>
      </c>
      <c r="C19" t="s">
        <v>997</v>
      </c>
      <c r="D19" t="s">
        <v>998</v>
      </c>
    </row>
    <row r="20" spans="2:4" x14ac:dyDescent="0.2">
      <c r="B20" s="154">
        <v>42175</v>
      </c>
      <c r="C20">
        <v>23912</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1"/>
      <c r="B1" s="132"/>
      <c r="C1" s="132"/>
      <c r="D1" s="132"/>
      <c r="E1" s="132"/>
      <c r="F1" s="132"/>
      <c r="G1" s="133"/>
      <c r="H1" s="134"/>
      <c r="I1" s="134"/>
      <c r="J1" s="134"/>
      <c r="K1" s="135"/>
    </row>
    <row r="2" spans="1:11" ht="39" customHeight="1" thickBot="1" x14ac:dyDescent="0.25">
      <c r="A2" s="131"/>
      <c r="B2" s="320" t="s">
        <v>1002</v>
      </c>
      <c r="C2" s="321"/>
      <c r="D2" s="321"/>
      <c r="E2" s="321"/>
      <c r="F2" s="321"/>
      <c r="G2" s="322"/>
      <c r="H2" s="136" t="s">
        <v>5</v>
      </c>
      <c r="I2" s="137" t="s">
        <v>2</v>
      </c>
      <c r="J2" s="137" t="s">
        <v>236</v>
      </c>
      <c r="K2" s="135"/>
    </row>
    <row r="3" spans="1:11" ht="59.25" customHeight="1" x14ac:dyDescent="0.2">
      <c r="A3" s="131"/>
      <c r="B3" s="323"/>
      <c r="C3" s="324"/>
      <c r="D3" s="324"/>
      <c r="E3" s="324"/>
      <c r="F3" s="324"/>
      <c r="G3" s="324"/>
      <c r="H3" s="316">
        <f>SUM(H5,H10)</f>
        <v>396512</v>
      </c>
      <c r="I3" s="316">
        <f>SUM(I5,I10)</f>
        <v>132360</v>
      </c>
      <c r="J3" s="318">
        <f>ROUND(I3/H3,5)</f>
        <v>0.33381</v>
      </c>
      <c r="K3" s="135"/>
    </row>
    <row r="4" spans="1:11" ht="33" customHeight="1" thickBot="1" x14ac:dyDescent="0.25">
      <c r="A4" s="131"/>
      <c r="B4" s="325" t="str">
        <f>"As of: "&amp;TEXT(INDEX(MMWR_DATES[],1,1),"MMMM DD, YYYY")</f>
        <v>As of: June 20, 2015</v>
      </c>
      <c r="C4" s="326"/>
      <c r="D4" s="326"/>
      <c r="E4" s="326"/>
      <c r="F4" s="326"/>
      <c r="G4" s="327"/>
      <c r="H4" s="317"/>
      <c r="I4" s="317"/>
      <c r="J4" s="319"/>
      <c r="K4" s="138"/>
    </row>
    <row r="5" spans="1:11" ht="16.5" customHeight="1" thickBot="1" x14ac:dyDescent="0.25">
      <c r="A5" s="131"/>
      <c r="B5" s="314" t="s">
        <v>241</v>
      </c>
      <c r="C5" s="315"/>
      <c r="D5" s="315"/>
      <c r="E5" s="315"/>
      <c r="F5" s="315"/>
      <c r="G5" s="139" t="s">
        <v>252</v>
      </c>
      <c r="H5" s="163">
        <f>SUM(H6:H9)</f>
        <v>150240</v>
      </c>
      <c r="I5" s="163">
        <f>SUM(I6:I9)</f>
        <v>55967</v>
      </c>
      <c r="J5" s="164">
        <f t="shared" ref="J5:J15" si="0">IF(H5=0, 0,I5/H5)</f>
        <v>0.37251730564430247</v>
      </c>
      <c r="K5" s="135"/>
    </row>
    <row r="6" spans="1:11" ht="16.5" customHeight="1" x14ac:dyDescent="0.2">
      <c r="A6" s="131"/>
      <c r="B6" s="279" t="s">
        <v>16</v>
      </c>
      <c r="C6" s="280"/>
      <c r="D6" s="280"/>
      <c r="E6" s="280"/>
      <c r="F6" s="280"/>
      <c r="G6" s="140" t="s">
        <v>198</v>
      </c>
      <c r="H6" s="165">
        <f>IFERROR(VLOOKUP(MID($G6,4,3),MMWR_TRAD_AGG_NATIONAL[],2,0),0)</f>
        <v>41936</v>
      </c>
      <c r="I6" s="165">
        <f>IFERROR(VLOOKUP(MID($G6,4,3),MMWR_TRAD_AGG_NATIONAL[],3,0),0)</f>
        <v>17776</v>
      </c>
      <c r="J6" s="166">
        <f t="shared" si="0"/>
        <v>0.42388401373521556</v>
      </c>
      <c r="K6" s="135"/>
    </row>
    <row r="7" spans="1:11" ht="16.5" customHeight="1" x14ac:dyDescent="0.2">
      <c r="A7" s="131"/>
      <c r="B7" s="281" t="s">
        <v>0</v>
      </c>
      <c r="C7" s="282"/>
      <c r="D7" s="282"/>
      <c r="E7" s="282"/>
      <c r="F7" s="282"/>
      <c r="G7" s="141" t="s">
        <v>199</v>
      </c>
      <c r="H7" s="165">
        <f>IFERROR(VLOOKUP(MID($G7,4,3),MMWR_TRAD_AGG_NATIONAL[],2,0),0)</f>
        <v>96811</v>
      </c>
      <c r="I7" s="165">
        <f>IFERROR(VLOOKUP(MID($G7,4,3),MMWR_TRAD_AGG_NATIONAL[],3,0),0)</f>
        <v>36936</v>
      </c>
      <c r="J7" s="166">
        <f t="shared" si="0"/>
        <v>0.38152689260517919</v>
      </c>
      <c r="K7" s="135"/>
    </row>
    <row r="8" spans="1:11" ht="16.5" customHeight="1" x14ac:dyDescent="0.2">
      <c r="A8" s="131"/>
      <c r="B8" s="283" t="s">
        <v>242</v>
      </c>
      <c r="C8" s="284"/>
      <c r="D8" s="284"/>
      <c r="E8" s="284"/>
      <c r="F8" s="284"/>
      <c r="G8" s="142" t="s">
        <v>201</v>
      </c>
      <c r="H8" s="165">
        <f>IFERROR(VLOOKUP(MID($G8,4,3),MMWR_TRAD_AGG_NATIONAL[],2,0),0)</f>
        <v>4988</v>
      </c>
      <c r="I8" s="165">
        <f>IFERROR(VLOOKUP(MID($G8,4,3),MMWR_TRAD_AGG_NATIONAL[],3,0),0)</f>
        <v>284</v>
      </c>
      <c r="J8" s="166">
        <f t="shared" si="0"/>
        <v>5.6936647955092221E-2</v>
      </c>
      <c r="K8" s="135"/>
    </row>
    <row r="9" spans="1:11" ht="16.5" customHeight="1" thickBot="1" x14ac:dyDescent="0.25">
      <c r="A9" s="131"/>
      <c r="B9" s="288" t="s">
        <v>17</v>
      </c>
      <c r="C9" s="289"/>
      <c r="D9" s="289"/>
      <c r="E9" s="289"/>
      <c r="F9" s="289"/>
      <c r="G9" s="141" t="s">
        <v>203</v>
      </c>
      <c r="H9" s="165">
        <f>IFERROR(VLOOKUP(MID($G9,4,3),MMWR_TRAD_AGG_NATIONAL[],2,0),0)</f>
        <v>6505</v>
      </c>
      <c r="I9" s="165">
        <f>IFERROR(VLOOKUP(MID($G9,4,3),MMWR_TRAD_AGG_NATIONAL[],3,0),0)</f>
        <v>971</v>
      </c>
      <c r="J9" s="166">
        <f t="shared" si="0"/>
        <v>0.14926979246733282</v>
      </c>
      <c r="K9" s="135"/>
    </row>
    <row r="10" spans="1:11" ht="17.25" thickBot="1" x14ac:dyDescent="0.25">
      <c r="A10" s="131"/>
      <c r="B10" s="314" t="s">
        <v>1</v>
      </c>
      <c r="C10" s="315"/>
      <c r="D10" s="315"/>
      <c r="E10" s="315"/>
      <c r="F10" s="315"/>
      <c r="G10" s="139" t="s">
        <v>252</v>
      </c>
      <c r="H10" s="163">
        <f>SUM(H11:H18)</f>
        <v>246272</v>
      </c>
      <c r="I10" s="163">
        <f>SUM(I11:I18)</f>
        <v>76393</v>
      </c>
      <c r="J10" s="164">
        <f t="shared" si="0"/>
        <v>0.31019766761954259</v>
      </c>
      <c r="K10" s="135"/>
    </row>
    <row r="11" spans="1:11" ht="16.5" customHeight="1" x14ac:dyDescent="0.2">
      <c r="A11" s="131"/>
      <c r="B11" s="279" t="s">
        <v>207</v>
      </c>
      <c r="C11" s="280"/>
      <c r="D11" s="280"/>
      <c r="E11" s="280"/>
      <c r="F11" s="280"/>
      <c r="G11" s="143" t="s">
        <v>202</v>
      </c>
      <c r="H11" s="167">
        <f>IFERROR(VLOOKUP(MID($G11,4,3),MMWR_TRAD_AGG_NATIONAL[],2,0),0)</f>
        <v>5884</v>
      </c>
      <c r="I11" s="165">
        <f>IFERROR(VLOOKUP(MID($G11,4,3),MMWR_TRAD_AGG_NATIONAL[],3,0),0)</f>
        <v>334</v>
      </c>
      <c r="J11" s="166">
        <f t="shared" si="0"/>
        <v>5.6764106050305914E-2</v>
      </c>
      <c r="K11" s="135"/>
    </row>
    <row r="12" spans="1:11" ht="16.5" customHeight="1" x14ac:dyDescent="0.2">
      <c r="A12" s="131"/>
      <c r="B12" s="281" t="s">
        <v>18</v>
      </c>
      <c r="C12" s="282"/>
      <c r="D12" s="282"/>
      <c r="E12" s="282"/>
      <c r="F12" s="282"/>
      <c r="G12" s="144" t="s">
        <v>200</v>
      </c>
      <c r="H12" s="168">
        <f>IFERROR(VLOOKUP(MID($G12,4,3),MMWR_TRAD_AGG_NATIONAL[],2,0),0)</f>
        <v>223564</v>
      </c>
      <c r="I12" s="165">
        <f>IFERROR(VLOOKUP(MID($G12,4,3),MMWR_TRAD_AGG_NATIONAL[],3,0),0)</f>
        <v>72891</v>
      </c>
      <c r="J12" s="166">
        <f t="shared" si="0"/>
        <v>0.32604086525558679</v>
      </c>
      <c r="K12" s="135"/>
    </row>
    <row r="13" spans="1:11" ht="16.5" customHeight="1" x14ac:dyDescent="0.2">
      <c r="A13" s="131"/>
      <c r="B13" s="281" t="s">
        <v>14</v>
      </c>
      <c r="C13" s="282"/>
      <c r="D13" s="282"/>
      <c r="E13" s="282"/>
      <c r="F13" s="282"/>
      <c r="G13" s="144" t="s">
        <v>204</v>
      </c>
      <c r="H13" s="168">
        <f>IFERROR(VLOOKUP(MID($G13,4,3),MMWR_TRAD_AGG_NATIONAL[],2,0),0)</f>
        <v>16422</v>
      </c>
      <c r="I13" s="165">
        <f>IFERROR(VLOOKUP(MID($G13,4,3),MMWR_TRAD_AGG_NATIONAL[],3,0),0)</f>
        <v>3100</v>
      </c>
      <c r="J13" s="166">
        <f t="shared" si="0"/>
        <v>0.18877116063816832</v>
      </c>
      <c r="K13" s="135"/>
    </row>
    <row r="14" spans="1:11" ht="16.5" customHeight="1" x14ac:dyDescent="0.2">
      <c r="A14" s="131"/>
      <c r="B14" s="283" t="s">
        <v>19</v>
      </c>
      <c r="C14" s="284"/>
      <c r="D14" s="284"/>
      <c r="E14" s="284"/>
      <c r="F14" s="284"/>
      <c r="G14" s="143" t="s">
        <v>205</v>
      </c>
      <c r="H14" s="168">
        <f>IFERROR(VLOOKUP(MID($G14,4,3),MMWR_TRAD_AGG_NATIONAL[],2,0),0)</f>
        <v>361</v>
      </c>
      <c r="I14" s="165">
        <f>IFERROR(VLOOKUP(MID($G14,4,3),MMWR_TRAD_AGG_NATIONAL[],3,0),0)</f>
        <v>49</v>
      </c>
      <c r="J14" s="166">
        <f t="shared" si="0"/>
        <v>0.13573407202216067</v>
      </c>
      <c r="K14" s="135"/>
    </row>
    <row r="15" spans="1:11" ht="16.5" customHeight="1" x14ac:dyDescent="0.2">
      <c r="A15" s="131"/>
      <c r="B15" s="283" t="s">
        <v>87</v>
      </c>
      <c r="C15" s="284"/>
      <c r="D15" s="284"/>
      <c r="E15" s="284"/>
      <c r="F15" s="284"/>
      <c r="G15" s="143" t="s">
        <v>208</v>
      </c>
      <c r="H15" s="168">
        <f>IFERROR(VLOOKUP(MID($G15,4,3),MMWR_TRAD_AGG_NATIONAL[],2,0),0)</f>
        <v>31</v>
      </c>
      <c r="I15" s="165">
        <f>IFERROR(VLOOKUP(MID($G15,4,3),MMWR_TRAD_AGG_NATIONAL[],3,0),0)</f>
        <v>17</v>
      </c>
      <c r="J15" s="166">
        <f t="shared" si="0"/>
        <v>0.54838709677419351</v>
      </c>
      <c r="K15" s="135"/>
    </row>
    <row r="16" spans="1:11" ht="15" x14ac:dyDescent="0.2">
      <c r="A16" s="131"/>
      <c r="B16" s="283" t="s">
        <v>88</v>
      </c>
      <c r="C16" s="284"/>
      <c r="D16" s="284"/>
      <c r="E16" s="284"/>
      <c r="F16" s="284"/>
      <c r="G16" s="143" t="s">
        <v>209</v>
      </c>
      <c r="H16" s="168">
        <f>IFERROR(VLOOKUP(MID($G16,4,3),MMWR_TRAD_AGG_NATIONAL[],2,0),0)</f>
        <v>1</v>
      </c>
      <c r="I16" s="165">
        <f>IFERROR(VLOOKUP(MID($G16,4,3),MMWR_TRAD_AGG_NATIONAL[],3,0),0)</f>
        <v>1</v>
      </c>
      <c r="J16" s="166">
        <f>IF(H16=0, 0,I16/H16)</f>
        <v>1</v>
      </c>
      <c r="K16" s="135"/>
    </row>
    <row r="17" spans="1:11" ht="16.5" customHeight="1" x14ac:dyDescent="0.2">
      <c r="A17" s="131"/>
      <c r="B17" s="283" t="s">
        <v>90</v>
      </c>
      <c r="C17" s="284"/>
      <c r="D17" s="284"/>
      <c r="E17" s="284"/>
      <c r="F17" s="284"/>
      <c r="G17" s="143" t="s">
        <v>210</v>
      </c>
      <c r="H17" s="168">
        <f>IFERROR(VLOOKUP(MID($G17,4,3),MMWR_TRAD_AGG_NATIONAL[],2,0),0)</f>
        <v>7</v>
      </c>
      <c r="I17" s="165">
        <f>IFERROR(VLOOKUP(MID($G17,4,3),MMWR_TRAD_AGG_NATIONAL[],3,0),0)</f>
        <v>1</v>
      </c>
      <c r="J17" s="166">
        <f>IF(H17=0, 0,I17/H17)</f>
        <v>0.14285714285714285</v>
      </c>
      <c r="K17" s="135"/>
    </row>
    <row r="18" spans="1:11" ht="16.5" customHeight="1" thickBot="1" x14ac:dyDescent="0.25">
      <c r="A18" s="131"/>
      <c r="B18" s="288" t="s">
        <v>89</v>
      </c>
      <c r="C18" s="289"/>
      <c r="D18" s="289"/>
      <c r="E18" s="289"/>
      <c r="F18" s="289"/>
      <c r="G18" s="143" t="s">
        <v>211</v>
      </c>
      <c r="H18" s="169">
        <f>IFERROR(VLOOKUP(MID($G18,4,3),MMWR_TRAD_AGG_NATIONAL[],2,0),0)</f>
        <v>2</v>
      </c>
      <c r="I18" s="165">
        <f>IFERROR(VLOOKUP(MID($G18,4,3),MMWR_TRAD_AGG_NATIONAL[],3,0),0)</f>
        <v>0</v>
      </c>
      <c r="J18" s="170">
        <f>IF(H18=0, 0,I18/H18)</f>
        <v>0</v>
      </c>
      <c r="K18" s="135"/>
    </row>
    <row r="19" spans="1:11" ht="16.5" customHeight="1" x14ac:dyDescent="0.2">
      <c r="A19" s="131"/>
      <c r="B19" s="293" t="s">
        <v>992</v>
      </c>
      <c r="C19" s="294"/>
      <c r="D19" s="294"/>
      <c r="E19" s="294"/>
      <c r="F19" s="294"/>
      <c r="G19" s="294"/>
      <c r="H19" s="294"/>
      <c r="I19" s="294"/>
      <c r="J19" s="295"/>
      <c r="K19" s="135"/>
    </row>
    <row r="20" spans="1:11" ht="36" customHeight="1" thickBot="1" x14ac:dyDescent="0.25">
      <c r="A20" s="131"/>
      <c r="B20" s="296"/>
      <c r="C20" s="297"/>
      <c r="D20" s="297"/>
      <c r="E20" s="297"/>
      <c r="F20" s="297"/>
      <c r="G20" s="297"/>
      <c r="H20" s="297"/>
      <c r="I20" s="297"/>
      <c r="J20" s="298"/>
      <c r="K20" s="135"/>
    </row>
    <row r="21" spans="1:11" ht="36" customHeight="1" x14ac:dyDescent="0.2">
      <c r="A21" s="131"/>
      <c r="B21" s="308" t="s">
        <v>983</v>
      </c>
      <c r="C21" s="309"/>
      <c r="D21" s="310"/>
      <c r="E21" s="308" t="s">
        <v>984</v>
      </c>
      <c r="F21" s="309"/>
      <c r="G21" s="310"/>
      <c r="H21" s="308" t="s">
        <v>985</v>
      </c>
      <c r="I21" s="309"/>
      <c r="J21" s="310"/>
      <c r="K21" s="135"/>
    </row>
    <row r="22" spans="1:11" ht="29.25" customHeight="1" thickBot="1" x14ac:dyDescent="0.25">
      <c r="A22" s="131"/>
      <c r="B22" s="311"/>
      <c r="C22" s="312"/>
      <c r="D22" s="313"/>
      <c r="E22" s="311"/>
      <c r="F22" s="312"/>
      <c r="G22" s="313"/>
      <c r="H22" s="311"/>
      <c r="I22" s="312"/>
      <c r="J22" s="313"/>
      <c r="K22" s="135"/>
    </row>
    <row r="23" spans="1:11" ht="36" customHeight="1" x14ac:dyDescent="0.35">
      <c r="A23" s="131"/>
      <c r="B23" s="308" t="s">
        <v>976</v>
      </c>
      <c r="C23" s="309"/>
      <c r="D23" s="310"/>
      <c r="E23" s="308" t="s">
        <v>977</v>
      </c>
      <c r="F23" s="309"/>
      <c r="G23" s="310"/>
      <c r="H23" s="145"/>
      <c r="I23" s="145"/>
      <c r="J23" s="145"/>
      <c r="K23" s="135"/>
    </row>
    <row r="24" spans="1:11" ht="29.25" customHeight="1" thickBot="1" x14ac:dyDescent="0.4">
      <c r="A24" s="131"/>
      <c r="B24" s="311"/>
      <c r="C24" s="312"/>
      <c r="D24" s="313"/>
      <c r="E24" s="311"/>
      <c r="F24" s="312"/>
      <c r="G24" s="313"/>
      <c r="H24" s="145"/>
      <c r="I24" s="145"/>
      <c r="J24" s="145"/>
      <c r="K24" s="135"/>
    </row>
    <row r="25" spans="1:11" ht="29.25" customHeight="1" thickBot="1" x14ac:dyDescent="0.25">
      <c r="A25" s="131"/>
      <c r="B25" s="146"/>
      <c r="C25" s="147"/>
      <c r="D25" s="147"/>
      <c r="E25" s="147"/>
      <c r="F25" s="147"/>
      <c r="G25" s="147"/>
      <c r="H25" s="147"/>
      <c r="I25" s="147"/>
      <c r="J25" s="147"/>
      <c r="K25" s="148"/>
    </row>
    <row r="26" spans="1:11" ht="38.25" x14ac:dyDescent="0.2">
      <c r="A26" s="131"/>
      <c r="B26" s="149" t="s">
        <v>23</v>
      </c>
      <c r="C26" s="150"/>
      <c r="D26" s="150"/>
      <c r="E26" s="150"/>
      <c r="F26" s="150"/>
      <c r="G26" s="50" t="s">
        <v>28</v>
      </c>
      <c r="H26" s="50" t="s">
        <v>29</v>
      </c>
      <c r="I26" s="50" t="s">
        <v>30</v>
      </c>
      <c r="J26" s="151" t="s">
        <v>31</v>
      </c>
      <c r="K26" s="135"/>
    </row>
    <row r="27" spans="1:11" ht="16.5" x14ac:dyDescent="0.2">
      <c r="A27" s="131"/>
      <c r="B27" s="290" t="s">
        <v>986</v>
      </c>
      <c r="C27" s="291"/>
      <c r="D27" s="291"/>
      <c r="E27" s="291"/>
      <c r="F27" s="292"/>
      <c r="G27" s="455">
        <v>10204</v>
      </c>
      <c r="H27" s="455">
        <v>8959</v>
      </c>
      <c r="I27" s="455">
        <v>1245</v>
      </c>
      <c r="J27" s="456">
        <v>0.13900000000000001</v>
      </c>
      <c r="K27" s="135"/>
    </row>
    <row r="28" spans="1:11" ht="15" x14ac:dyDescent="0.2">
      <c r="A28" s="131"/>
      <c r="B28" s="328" t="s">
        <v>24</v>
      </c>
      <c r="C28" s="329"/>
      <c r="D28" s="329"/>
      <c r="E28" s="329"/>
      <c r="F28" s="330"/>
      <c r="G28" s="457">
        <v>1085</v>
      </c>
      <c r="H28" s="457">
        <v>1033</v>
      </c>
      <c r="I28" s="457">
        <v>52</v>
      </c>
      <c r="J28" s="258">
        <v>0.05</v>
      </c>
      <c r="K28" s="135"/>
    </row>
    <row r="29" spans="1:11" ht="15" x14ac:dyDescent="0.2">
      <c r="A29" s="131"/>
      <c r="B29" s="299" t="s">
        <v>25</v>
      </c>
      <c r="C29" s="300"/>
      <c r="D29" s="300"/>
      <c r="E29" s="300"/>
      <c r="F29" s="301"/>
      <c r="G29" s="458">
        <v>874</v>
      </c>
      <c r="H29" s="458">
        <v>917</v>
      </c>
      <c r="I29" s="458">
        <v>-43</v>
      </c>
      <c r="J29" s="259">
        <v>-4.7E-2</v>
      </c>
      <c r="K29" s="135"/>
    </row>
    <row r="30" spans="1:11" ht="15" x14ac:dyDescent="0.2">
      <c r="A30" s="131"/>
      <c r="B30" s="302" t="s">
        <v>26</v>
      </c>
      <c r="C30" s="303"/>
      <c r="D30" s="303"/>
      <c r="E30" s="303"/>
      <c r="F30" s="304"/>
      <c r="G30" s="458">
        <v>1684</v>
      </c>
      <c r="H30" s="458">
        <v>1639</v>
      </c>
      <c r="I30" s="458">
        <v>45</v>
      </c>
      <c r="J30" s="259">
        <v>2.7E-2</v>
      </c>
      <c r="K30" s="135"/>
    </row>
    <row r="31" spans="1:11" ht="15" x14ac:dyDescent="0.2">
      <c r="A31" s="131"/>
      <c r="B31" s="331" t="s">
        <v>27</v>
      </c>
      <c r="C31" s="332"/>
      <c r="D31" s="332"/>
      <c r="E31" s="332"/>
      <c r="F31" s="333"/>
      <c r="G31" s="459">
        <v>6561</v>
      </c>
      <c r="H31" s="459">
        <v>5370</v>
      </c>
      <c r="I31" s="459">
        <v>1191</v>
      </c>
      <c r="J31" s="260">
        <v>0.222</v>
      </c>
      <c r="K31" s="135"/>
    </row>
    <row r="32" spans="1:11" ht="16.5" x14ac:dyDescent="0.2">
      <c r="A32" s="131"/>
      <c r="B32" s="290" t="s">
        <v>243</v>
      </c>
      <c r="C32" s="291"/>
      <c r="D32" s="291"/>
      <c r="E32" s="291"/>
      <c r="F32" s="292"/>
      <c r="G32" s="455">
        <v>76310</v>
      </c>
      <c r="H32" s="455">
        <v>69271</v>
      </c>
      <c r="I32" s="455">
        <v>7039</v>
      </c>
      <c r="J32" s="456">
        <v>0.10199999999999999</v>
      </c>
      <c r="K32" s="135"/>
    </row>
    <row r="33" spans="1:11" ht="15" x14ac:dyDescent="0.2">
      <c r="A33" s="131"/>
      <c r="B33" s="328" t="s">
        <v>24</v>
      </c>
      <c r="C33" s="329"/>
      <c r="D33" s="329"/>
      <c r="E33" s="329"/>
      <c r="F33" s="330"/>
      <c r="G33" s="457">
        <v>5081</v>
      </c>
      <c r="H33" s="457">
        <v>5089</v>
      </c>
      <c r="I33" s="457">
        <v>-8</v>
      </c>
      <c r="J33" s="258">
        <v>-2E-3</v>
      </c>
      <c r="K33" s="135"/>
    </row>
    <row r="34" spans="1:11" ht="15" x14ac:dyDescent="0.2">
      <c r="A34" s="131"/>
      <c r="B34" s="299" t="s">
        <v>25</v>
      </c>
      <c r="C34" s="300"/>
      <c r="D34" s="300"/>
      <c r="E34" s="300"/>
      <c r="F34" s="301"/>
      <c r="G34" s="458">
        <v>5438</v>
      </c>
      <c r="H34" s="458">
        <v>5787</v>
      </c>
      <c r="I34" s="458">
        <v>-349</v>
      </c>
      <c r="J34" s="259">
        <v>-0.06</v>
      </c>
      <c r="K34" s="135"/>
    </row>
    <row r="35" spans="1:11" ht="15" x14ac:dyDescent="0.2">
      <c r="A35" s="131"/>
      <c r="B35" s="302" t="s">
        <v>26</v>
      </c>
      <c r="C35" s="303"/>
      <c r="D35" s="303"/>
      <c r="E35" s="303"/>
      <c r="F35" s="304"/>
      <c r="G35" s="458">
        <v>18948</v>
      </c>
      <c r="H35" s="458">
        <v>17678</v>
      </c>
      <c r="I35" s="458">
        <v>1270</v>
      </c>
      <c r="J35" s="259">
        <v>7.1999999999999995E-2</v>
      </c>
      <c r="K35" s="135"/>
    </row>
    <row r="36" spans="1:11" ht="15.75" thickBot="1" x14ac:dyDescent="0.25">
      <c r="A36" s="131"/>
      <c r="B36" s="305" t="s">
        <v>27</v>
      </c>
      <c r="C36" s="306"/>
      <c r="D36" s="306"/>
      <c r="E36" s="306"/>
      <c r="F36" s="307"/>
      <c r="G36" s="458">
        <v>46843</v>
      </c>
      <c r="H36" s="458">
        <v>40717</v>
      </c>
      <c r="I36" s="458">
        <v>6126</v>
      </c>
      <c r="J36" s="259">
        <v>0.15</v>
      </c>
      <c r="K36" s="135"/>
    </row>
    <row r="37" spans="1:11" ht="15.75" customHeight="1" thickBot="1" x14ac:dyDescent="0.25">
      <c r="A37" s="131"/>
      <c r="B37" s="285" t="s">
        <v>991</v>
      </c>
      <c r="C37" s="286"/>
      <c r="D37" s="286"/>
      <c r="E37" s="286"/>
      <c r="F37" s="286"/>
      <c r="G37" s="286"/>
      <c r="H37" s="286"/>
      <c r="I37" s="286"/>
      <c r="J37" s="287"/>
      <c r="K37" s="135"/>
    </row>
    <row r="38" spans="1:11" ht="15" customHeight="1" x14ac:dyDescent="0.2">
      <c r="A38" s="152"/>
      <c r="B38" s="153"/>
      <c r="C38" s="153"/>
      <c r="D38" s="153"/>
      <c r="E38" s="153"/>
      <c r="F38" s="153"/>
      <c r="G38" s="153"/>
      <c r="H38" s="153"/>
      <c r="I38" s="153"/>
      <c r="J38" s="153"/>
      <c r="K38" s="14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A320" sheet="1" autoFilter="0"/>
  <mergeCells count="36">
    <mergeCell ref="B21:D22"/>
    <mergeCell ref="E21:G22"/>
    <mergeCell ref="H21:J22"/>
    <mergeCell ref="B33:F33"/>
    <mergeCell ref="B28:F28"/>
    <mergeCell ref="B29:F29"/>
    <mergeCell ref="B30:F30"/>
    <mergeCell ref="B31:F31"/>
    <mergeCell ref="B32:F32"/>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7" t="s">
        <v>304</v>
      </c>
      <c r="D2" s="348"/>
      <c r="E2" s="348"/>
      <c r="F2" s="348"/>
      <c r="G2" s="348"/>
      <c r="H2" s="348"/>
      <c r="I2" s="348"/>
      <c r="J2" s="348"/>
      <c r="K2" s="349"/>
      <c r="L2" s="347" t="s">
        <v>309</v>
      </c>
      <c r="M2" s="348"/>
      <c r="N2" s="348"/>
      <c r="O2" s="349"/>
      <c r="P2" s="28"/>
    </row>
    <row r="3" spans="1:16" ht="24" customHeight="1" thickBot="1" x14ac:dyDescent="0.4">
      <c r="A3" s="25"/>
      <c r="B3" s="29"/>
      <c r="C3" s="350"/>
      <c r="D3" s="351"/>
      <c r="E3" s="351"/>
      <c r="F3" s="351"/>
      <c r="G3" s="351"/>
      <c r="H3" s="351"/>
      <c r="I3" s="351"/>
      <c r="J3" s="351"/>
      <c r="K3" s="352"/>
      <c r="L3" s="350" t="str">
        <f>Transformation!B4</f>
        <v>As of: June 20, 2015</v>
      </c>
      <c r="M3" s="351"/>
      <c r="N3" s="351"/>
      <c r="O3" s="352"/>
      <c r="P3" s="28"/>
    </row>
    <row r="4" spans="1:16" ht="51.75" customHeight="1" thickBot="1" x14ac:dyDescent="0.35">
      <c r="A4" s="30"/>
      <c r="B4" s="251" t="s">
        <v>465</v>
      </c>
      <c r="C4" s="353" t="s">
        <v>313</v>
      </c>
      <c r="D4" s="354"/>
      <c r="E4" s="354"/>
      <c r="F4" s="354"/>
      <c r="G4" s="354"/>
      <c r="H4" s="354"/>
      <c r="I4" s="354"/>
      <c r="J4" s="354"/>
      <c r="K4" s="354"/>
      <c r="L4" s="354"/>
      <c r="M4" s="354"/>
      <c r="N4" s="354"/>
      <c r="O4" s="355"/>
      <c r="P4" s="28"/>
    </row>
    <row r="5" spans="1:16" ht="27" customHeight="1" thickBot="1" x14ac:dyDescent="0.25">
      <c r="A5" s="30"/>
      <c r="B5" s="26"/>
      <c r="C5" s="356" t="s">
        <v>1065</v>
      </c>
      <c r="D5" s="357"/>
      <c r="E5" s="357"/>
      <c r="F5" s="357"/>
      <c r="G5" s="357"/>
      <c r="H5" s="357"/>
      <c r="I5" s="357"/>
      <c r="J5" s="357"/>
      <c r="K5" s="357"/>
      <c r="L5" s="357"/>
      <c r="M5" s="357"/>
      <c r="N5" s="357"/>
      <c r="O5" s="358"/>
      <c r="P5" s="28"/>
    </row>
    <row r="6" spans="1:16" ht="55.5" customHeight="1" x14ac:dyDescent="0.2">
      <c r="A6" s="30"/>
      <c r="B6" s="31"/>
      <c r="C6" s="32" t="s">
        <v>198</v>
      </c>
      <c r="D6" s="359" t="s">
        <v>16</v>
      </c>
      <c r="E6" s="360"/>
      <c r="F6" s="33" t="s">
        <v>201</v>
      </c>
      <c r="G6" s="359" t="s">
        <v>206</v>
      </c>
      <c r="H6" s="361"/>
      <c r="I6" s="33" t="s">
        <v>204</v>
      </c>
      <c r="J6" s="365" t="s">
        <v>14</v>
      </c>
      <c r="K6" s="366"/>
      <c r="L6" s="33" t="s">
        <v>209</v>
      </c>
      <c r="M6" s="362" t="s">
        <v>88</v>
      </c>
      <c r="N6" s="363"/>
      <c r="O6" s="364"/>
      <c r="P6" s="28"/>
    </row>
    <row r="7" spans="1:16" ht="51.75" customHeight="1" x14ac:dyDescent="0.2">
      <c r="A7" s="30"/>
      <c r="B7" s="34"/>
      <c r="C7" s="35" t="s">
        <v>199</v>
      </c>
      <c r="D7" s="369" t="s">
        <v>0</v>
      </c>
      <c r="E7" s="370"/>
      <c r="F7" s="36" t="s">
        <v>202</v>
      </c>
      <c r="G7" s="371" t="s">
        <v>207</v>
      </c>
      <c r="H7" s="371"/>
      <c r="I7" s="36" t="s">
        <v>205</v>
      </c>
      <c r="J7" s="334" t="s">
        <v>19</v>
      </c>
      <c r="K7" s="335"/>
      <c r="L7" s="36" t="s">
        <v>210</v>
      </c>
      <c r="M7" s="344" t="s">
        <v>90</v>
      </c>
      <c r="N7" s="345"/>
      <c r="O7" s="346"/>
      <c r="P7" s="28"/>
    </row>
    <row r="8" spans="1:16" ht="51.75" customHeight="1" thickBot="1" x14ac:dyDescent="0.25">
      <c r="A8" s="25"/>
      <c r="B8" s="28"/>
      <c r="C8" s="37" t="s">
        <v>200</v>
      </c>
      <c r="D8" s="372" t="s">
        <v>18</v>
      </c>
      <c r="E8" s="373"/>
      <c r="F8" s="38" t="s">
        <v>203</v>
      </c>
      <c r="G8" s="374" t="s">
        <v>17</v>
      </c>
      <c r="H8" s="374"/>
      <c r="I8" s="38" t="s">
        <v>208</v>
      </c>
      <c r="J8" s="336" t="s">
        <v>87</v>
      </c>
      <c r="K8" s="337"/>
      <c r="L8" s="38" t="s">
        <v>211</v>
      </c>
      <c r="M8" s="376" t="s">
        <v>89</v>
      </c>
      <c r="N8" s="377"/>
      <c r="O8" s="378"/>
      <c r="P8" s="28"/>
    </row>
    <row r="9" spans="1:16" x14ac:dyDescent="0.2">
      <c r="A9" s="28"/>
      <c r="B9" s="28"/>
      <c r="C9" s="39" t="s">
        <v>721</v>
      </c>
      <c r="D9" s="39" t="s">
        <v>723</v>
      </c>
      <c r="E9" s="39" t="s">
        <v>722</v>
      </c>
      <c r="F9" s="39" t="s">
        <v>725</v>
      </c>
      <c r="G9" s="39" t="s">
        <v>724</v>
      </c>
      <c r="H9" s="39" t="s">
        <v>727</v>
      </c>
      <c r="I9" s="39" t="s">
        <v>726</v>
      </c>
      <c r="J9" s="39" t="s">
        <v>937</v>
      </c>
      <c r="K9" s="39" t="s">
        <v>938</v>
      </c>
      <c r="L9" s="39" t="s">
        <v>940</v>
      </c>
      <c r="M9" s="39" t="s">
        <v>941</v>
      </c>
      <c r="N9" s="39" t="s">
        <v>942</v>
      </c>
      <c r="O9" s="39" t="s">
        <v>943</v>
      </c>
      <c r="P9" s="28"/>
    </row>
    <row r="10" spans="1:16" ht="15.75" customHeight="1" x14ac:dyDescent="0.2">
      <c r="A10" s="25"/>
      <c r="B10" s="26"/>
      <c r="C10" s="375" t="s">
        <v>302</v>
      </c>
      <c r="D10" s="375"/>
      <c r="E10" s="375"/>
      <c r="F10" s="375"/>
      <c r="G10" s="375"/>
      <c r="H10" s="375"/>
      <c r="I10" s="375"/>
      <c r="J10" s="375"/>
      <c r="K10" s="375"/>
      <c r="L10" s="375"/>
      <c r="M10" s="375"/>
      <c r="N10" s="375"/>
      <c r="O10" s="375"/>
      <c r="P10" s="28"/>
    </row>
    <row r="11" spans="1:16" ht="32.25" customHeight="1" x14ac:dyDescent="0.2">
      <c r="A11" s="25"/>
      <c r="B11" s="26"/>
      <c r="C11" s="338" t="s">
        <v>234</v>
      </c>
      <c r="D11" s="338" t="s">
        <v>140</v>
      </c>
      <c r="E11" s="338" t="s">
        <v>235</v>
      </c>
      <c r="F11" s="338" t="s">
        <v>195</v>
      </c>
      <c r="G11" s="338" t="s">
        <v>212</v>
      </c>
      <c r="H11" s="338" t="s">
        <v>214</v>
      </c>
      <c r="I11" s="338" t="s">
        <v>215</v>
      </c>
      <c r="J11" s="342" t="s">
        <v>947</v>
      </c>
      <c r="K11" s="342" t="s">
        <v>948</v>
      </c>
      <c r="L11" s="340" t="s">
        <v>197</v>
      </c>
      <c r="M11" s="341"/>
      <c r="N11" s="340" t="s">
        <v>196</v>
      </c>
      <c r="O11" s="341"/>
      <c r="P11" s="28"/>
    </row>
    <row r="12" spans="1:16" ht="32.25" customHeight="1" x14ac:dyDescent="0.2">
      <c r="A12" s="25"/>
      <c r="B12" s="26"/>
      <c r="C12" s="339"/>
      <c r="D12" s="339"/>
      <c r="E12" s="339"/>
      <c r="F12" s="339"/>
      <c r="G12" s="339"/>
      <c r="H12" s="339"/>
      <c r="I12" s="339"/>
      <c r="J12" s="343"/>
      <c r="K12" s="343"/>
      <c r="L12" s="40" t="s">
        <v>944</v>
      </c>
      <c r="M12" s="40" t="s">
        <v>953</v>
      </c>
      <c r="N12" s="40" t="s">
        <v>944</v>
      </c>
      <c r="O12" s="40" t="s">
        <v>953</v>
      </c>
      <c r="P12" s="28"/>
    </row>
    <row r="13" spans="1:16" x14ac:dyDescent="0.2">
      <c r="A13" s="25"/>
      <c r="B13" s="41" t="s">
        <v>746</v>
      </c>
      <c r="C13" s="157">
        <f>IF($B13=" ","",IFERROR(INDEX(MMWR_RATING_RO_ROLLUP[],MATCH($B13,MMWR_RATING_RO_ROLLUP[MMWR_RATING_RO_ROLLUP],0),MATCH(C$9,MMWR_RATING_RO_ROLLUP[#Headers],0)),"ERROR"))</f>
        <v>396512</v>
      </c>
      <c r="D13" s="158">
        <f>IF($B13=" ","",IFERROR(INDEX(MMWR_RATING_RO_ROLLUP[],MATCH($B13,MMWR_RATING_RO_ROLLUP[MMWR_RATING_RO_ROLLUP],0),MATCH(D$9,MMWR_RATING_RO_ROLLUP[#Headers],0)),"ERROR"))</f>
        <v>119.7443053426</v>
      </c>
      <c r="E13" s="159">
        <f>IF($B13=" ","",IFERROR(INDEX(MMWR_RATING_RO_ROLLUP[],MATCH($B13,MMWR_RATING_RO_ROLLUP[MMWR_RATING_RO_ROLLUP],0),MATCH(E$9,MMWR_RATING_RO_ROLLUP[#Headers],0))/$C13,"ERROR"))</f>
        <v>0.33381083044144944</v>
      </c>
      <c r="F13" s="157">
        <f>IF($B13=" ","",IFERROR(INDEX(MMWR_RATING_RO_ROLLUP[],MATCH($B13,MMWR_RATING_RO_ROLLUP[MMWR_RATING_RO_ROLLUP],0),MATCH(F$9,MMWR_RATING_RO_ROLLUP[#Headers],0)),"ERROR"))</f>
        <v>81454</v>
      </c>
      <c r="G13" s="157">
        <f>IF($B13=" ","",IFERROR(INDEX(MMWR_RATING_RO_ROLLUP[],MATCH($B13,MMWR_RATING_RO_ROLLUP[MMWR_RATING_RO_ROLLUP],0),MATCH(G$9,MMWR_RATING_RO_ROLLUP[#Headers],0)),"ERROR"))</f>
        <v>999645</v>
      </c>
      <c r="H13" s="158">
        <f>IF($B13=" ","",IFERROR(INDEX(MMWR_RATING_RO_ROLLUP[],MATCH($B13,MMWR_RATING_RO_ROLLUP[MMWR_RATING_RO_ROLLUP],0),MATCH(H$9,MMWR_RATING_RO_ROLLUP[#Headers],0)),"ERROR"))</f>
        <v>161.50890072920001</v>
      </c>
      <c r="I13" s="158">
        <f>IF($B13=" ","",IFERROR(INDEX(MMWR_RATING_RO_ROLLUP[],MATCH($B13,MMWR_RATING_RO_ROLLUP[MMWR_RATING_RO_ROLLUP],0),MATCH(I$9,MMWR_RATING_RO_ROLLUP[#Headers],0)),"ERROR"))</f>
        <v>177.1510606265</v>
      </c>
      <c r="J13" s="160">
        <f>VLOOKUP($B13,MMWR_ACCURACY_RO[],MATCH(J$9,MMWR_ACCURACY_RO[#Headers],0),0)</f>
        <v>0.96182586538183457</v>
      </c>
      <c r="K13" s="160">
        <f>VLOOKUP($B13,MMWR_ACCURACY_RO[],MATCH(K$9,MMWR_ACCURACY_RO[#Headers],0),0)</f>
        <v>0.90110625575584147</v>
      </c>
      <c r="L13" s="160">
        <f>VLOOKUP($B13,MMWR_ACCURACY_RO[],MATCH(L$9,MMWR_ACCURACY_RO[#Headers],0),0)</f>
        <v>0.90686154524514007</v>
      </c>
      <c r="M13" s="160">
        <f>VLOOKUP($B13,MMWR_ACCURACY_RO[],MATCH(M$9,MMWR_ACCURACY_RO[#Headers],0),0)</f>
        <v>6.8423548499075794E-3</v>
      </c>
      <c r="N13" s="160">
        <f>VLOOKUP($B13,MMWR_ACCURACY_RO[],MATCH(N$9,MMWR_ACCURACY_RO[#Headers],0),0)</f>
        <v>0.91566535234070079</v>
      </c>
      <c r="O13" s="160">
        <f>VLOOKUP($B13,MMWR_ACCURACY_RO[],MATCH(O$9,MMWR_ACCURACY_RO[#Headers],0),0)</f>
        <v>7.0650939435798676E-3</v>
      </c>
      <c r="P13" s="28"/>
    </row>
    <row r="14" spans="1:16" x14ac:dyDescent="0.2">
      <c r="A14" s="25"/>
      <c r="B14" s="367" t="s">
        <v>749</v>
      </c>
      <c r="C14" s="368"/>
      <c r="D14" s="368"/>
      <c r="E14" s="368"/>
      <c r="F14" s="368"/>
      <c r="G14" s="368"/>
      <c r="H14" s="368"/>
      <c r="I14" s="368"/>
      <c r="J14" s="368"/>
      <c r="K14" s="368"/>
      <c r="L14" s="368"/>
      <c r="M14" s="368"/>
      <c r="N14" s="368"/>
      <c r="O14" s="368"/>
      <c r="P14" s="28"/>
    </row>
    <row r="15" spans="1:16" x14ac:dyDescent="0.2">
      <c r="A15" s="25"/>
      <c r="B15" s="41" t="s">
        <v>745</v>
      </c>
      <c r="C15" s="157">
        <f>IF($B15=" ","",IFERROR(INDEX(MMWR_RATING_RO_ROLLUP[],MATCH($B15,MMWR_RATING_RO_ROLLUP[MMWR_RATING_RO_ROLLUP],0),MATCH(C$9,MMWR_RATING_RO_ROLLUP[#Headers],0)),"ERROR"))</f>
        <v>361466</v>
      </c>
      <c r="D15" s="158">
        <f>IF($B15=" ","",IFERROR(INDEX(MMWR_RATING_RO_ROLLUP[],MATCH($B15,MMWR_RATING_RO_ROLLUP[MMWR_RATING_RO_ROLLUP],0),MATCH(D$9,MMWR_RATING_RO_ROLLUP[#Headers],0)),"ERROR"))</f>
        <v>124.6508274637</v>
      </c>
      <c r="E15" s="159">
        <f>IF($B15=" ","",IFERROR(INDEX(MMWR_RATING_RO_ROLLUP[],MATCH($B15,MMWR_RATING_RO_ROLLUP[MMWR_RATING_RO_ROLLUP],0),MATCH(E$9,MMWR_RATING_RO_ROLLUP[#Headers],0))/$C15,"ERROR"))</f>
        <v>0.35289349482385618</v>
      </c>
      <c r="F15" s="157">
        <f>IF($B15=" ","",IFERROR(INDEX(MMWR_RATING_RO_ROLLUP[],MATCH($B15,MMWR_RATING_RO_ROLLUP[MMWR_RATING_RO_ROLLUP],0),MATCH(F$9,MMWR_RATING_RO_ROLLUP[#Headers],0)),"ERROR"))</f>
        <v>70161</v>
      </c>
      <c r="G15" s="157">
        <f>IF($B15=" ","",IFERROR(INDEX(MMWR_RATING_RO_ROLLUP[],MATCH($B15,MMWR_RATING_RO_ROLLUP[MMWR_RATING_RO_ROLLUP],0),MATCH(G$9,MMWR_RATING_RO_ROLLUP[#Headers],0)),"ERROR"))</f>
        <v>851091</v>
      </c>
      <c r="H15" s="158">
        <f>IF($B15=" ","",IFERROR(INDEX(MMWR_RATING_RO_ROLLUP[],MATCH($B15,MMWR_RATING_RO_ROLLUP[MMWR_RATING_RO_ROLLUP],0),MATCH(H$9,MMWR_RATING_RO_ROLLUP[#Headers],0)),"ERROR"))</f>
        <v>174.4342013369</v>
      </c>
      <c r="I15" s="158">
        <f>IF($B15=" ","",IFERROR(INDEX(MMWR_RATING_RO_ROLLUP[],MATCH($B15,MMWR_RATING_RO_ROLLUP[MMWR_RATING_RO_ROLLUP],0),MATCH(I$9,MMWR_RATING_RO_ROLLUP[#Headers],0)),"ERROR"))</f>
        <v>193.2604927088</v>
      </c>
      <c r="J15" s="161"/>
      <c r="K15" s="161"/>
      <c r="L15" s="161"/>
      <c r="M15" s="161"/>
      <c r="N15" s="161"/>
      <c r="O15" s="161"/>
      <c r="P15" s="28"/>
    </row>
    <row r="16" spans="1:16" x14ac:dyDescent="0.2">
      <c r="A16" s="25"/>
      <c r="B16" s="252" t="s">
        <v>379</v>
      </c>
      <c r="C16" s="157">
        <f>IF($B16=" ","",IFERROR(INDEX(MMWR_RATING_RO_ROLLUP[],MATCH($B16,MMWR_RATING_RO_ROLLUP[MMWR_RATING_RO_ROLLUP],0),MATCH(C$9,MMWR_RATING_RO_ROLLUP[#Headers],0)),"ERROR"))</f>
        <v>79597</v>
      </c>
      <c r="D16" s="158">
        <f>IF($B16=" ","",IFERROR(INDEX(MMWR_RATING_RO_ROLLUP[],MATCH($B16,MMWR_RATING_RO_ROLLUP[MMWR_RATING_RO_ROLLUP],0),MATCH(D$9,MMWR_RATING_RO_ROLLUP[#Headers],0)),"ERROR"))</f>
        <v>125.07717627549999</v>
      </c>
      <c r="E16" s="159">
        <f>IF($B16=" ","",IFERROR(INDEX(MMWR_RATING_RO_ROLLUP[],MATCH($B16,MMWR_RATING_RO_ROLLUP[MMWR_RATING_RO_ROLLUP],0),MATCH(E$9,MMWR_RATING_RO_ROLLUP[#Headers],0))/$C16,"ERROR"))</f>
        <v>0.360440720127643</v>
      </c>
      <c r="F16" s="157">
        <f>IF($B16=" ","",IFERROR(INDEX(MMWR_RATING_RO_ROLLUP[],MATCH($B16,MMWR_RATING_RO_ROLLUP[MMWR_RATING_RO_ROLLUP],0),MATCH(F$9,MMWR_RATING_RO_ROLLUP[#Headers],0)),"ERROR"))</f>
        <v>15729</v>
      </c>
      <c r="G16" s="157">
        <f>IF($B16=" ","",IFERROR(INDEX(MMWR_RATING_RO_ROLLUP[],MATCH($B16,MMWR_RATING_RO_ROLLUP[MMWR_RATING_RO_ROLLUP],0),MATCH(G$9,MMWR_RATING_RO_ROLLUP[#Headers],0)),"ERROR"))</f>
        <v>186149</v>
      </c>
      <c r="H16" s="158">
        <f>IF($B16=" ","",IFERROR(INDEX(MMWR_RATING_RO_ROLLUP[],MATCH($B16,MMWR_RATING_RO_ROLLUP[MMWR_RATING_RO_ROLLUP],0),MATCH(H$9,MMWR_RATING_RO_ROLLUP[#Headers],0)),"ERROR"))</f>
        <v>174.44923389920001</v>
      </c>
      <c r="I16" s="158">
        <f>IF($B16=" ","",IFERROR(INDEX(MMWR_RATING_RO_ROLLUP[],MATCH($B16,MMWR_RATING_RO_ROLLUP[MMWR_RATING_RO_ROLLUP],0),MATCH(I$9,MMWR_RATING_RO_ROLLUP[#Headers],0)),"ERROR"))</f>
        <v>196.25293716319999</v>
      </c>
      <c r="J16" s="161"/>
      <c r="K16" s="161"/>
      <c r="L16" s="161"/>
      <c r="M16" s="161"/>
      <c r="N16" s="161"/>
      <c r="O16" s="161"/>
      <c r="P16" s="28"/>
    </row>
    <row r="17" spans="1:16" x14ac:dyDescent="0.2">
      <c r="A17" s="25"/>
      <c r="B17" s="8" t="str">
        <f>VLOOKUP($B$16,DISTRICT_RO[],2,0)</f>
        <v>Baltimore VSC</v>
      </c>
      <c r="C17" s="157">
        <f>IF($B17=" ","",IFERROR(INDEX(MMWR_RATING_RO_ROLLUP[],MATCH($B17,MMWR_RATING_RO_ROLLUP[MMWR_RATING_RO_ROLLUP],0),MATCH(C$9,MMWR_RATING_RO_ROLLUP[#Headers],0)),"ERROR"))</f>
        <v>2763</v>
      </c>
      <c r="D17" s="158">
        <f>IF($B17=" ","",IFERROR(INDEX(MMWR_RATING_RO_ROLLUP[],MATCH($B17,MMWR_RATING_RO_ROLLUP[MMWR_RATING_RO_ROLLUP],0),MATCH(D$9,MMWR_RATING_RO_ROLLUP[#Headers],0)),"ERROR"))</f>
        <v>87.300398118000004</v>
      </c>
      <c r="E17" s="159">
        <f>IF($B17=" ","",IFERROR(INDEX(MMWR_RATING_RO_ROLLUP[],MATCH($B17,MMWR_RATING_RO_ROLLUP[MMWR_RATING_RO_ROLLUP],0),MATCH(E$9,MMWR_RATING_RO_ROLLUP[#Headers],0))/$C17,"ERROR"))</f>
        <v>0.19290626131017011</v>
      </c>
      <c r="F17" s="157">
        <f>IF($B17=" ","",IFERROR(INDEX(MMWR_RATING_RO_ROLLUP[],MATCH($B17,MMWR_RATING_RO_ROLLUP[MMWR_RATING_RO_ROLLUP],0),MATCH(F$9,MMWR_RATING_RO_ROLLUP[#Headers],0)),"ERROR"))</f>
        <v>542</v>
      </c>
      <c r="G17" s="157">
        <f>IF($B17=" ","",IFERROR(INDEX(MMWR_RATING_RO_ROLLUP[],MATCH($B17,MMWR_RATING_RO_ROLLUP[MMWR_RATING_RO_ROLLUP],0),MATCH(G$9,MMWR_RATING_RO_ROLLUP[#Headers],0)),"ERROR"))</f>
        <v>4124</v>
      </c>
      <c r="H17" s="158">
        <f>IF($B17=" ","",IFERROR(INDEX(MMWR_RATING_RO_ROLLUP[],MATCH($B17,MMWR_RATING_RO_ROLLUP[MMWR_RATING_RO_ROLLUP],0),MATCH(H$9,MMWR_RATING_RO_ROLLUP[#Headers],0)),"ERROR"))</f>
        <v>202.94649446490001</v>
      </c>
      <c r="I17" s="158">
        <f>IF($B17=" ","",IFERROR(INDEX(MMWR_RATING_RO_ROLLUP[],MATCH($B17,MMWR_RATING_RO_ROLLUP[MMWR_RATING_RO_ROLLUP],0),MATCH(I$9,MMWR_RATING_RO_ROLLUP[#Headers],0)),"ERROR"))</f>
        <v>269.86978661490002</v>
      </c>
      <c r="J17" s="162">
        <f>IF($B17=" ","",IFERROR(VLOOKUP($B17,MMWR_ACCURACY_RO[],MATCH(J$9,MMWR_ACCURACY_RO[#Headers],0),0),"ERROR"))</f>
        <v>0.93134075670949423</v>
      </c>
      <c r="K17" s="162">
        <f>IF($B17=" ","",IFERROR(VLOOKUP($B17,MMWR_ACCURACY_RO[],MATCH(K$9,MMWR_ACCURACY_RO[#Headers],0),0),"ERROR"))</f>
        <v>0.87277920163492295</v>
      </c>
      <c r="L17" s="162">
        <f>IF($B17=" ","",IFERROR(VLOOKUP($B17,MMWR_ACCURACY_RO[],MATCH(L$9,MMWR_ACCURACY_RO[#Headers],0),0),"ERROR"))</f>
        <v>0.83221513545106207</v>
      </c>
      <c r="M17" s="162">
        <f>IF($B17=" ","",IFERROR(VLOOKUP($B17,MMWR_ACCURACY_RO[],MATCH(M$9,MMWR_ACCURACY_RO[#Headers],0),0),"ERROR"))</f>
        <v>4.7832508114165645E-2</v>
      </c>
      <c r="N17" s="162">
        <f>IF($B17=" ","",IFERROR(VLOOKUP($B17,MMWR_ACCURACY_RO[],MATCH(N$9,MMWR_ACCURACY_RO[#Headers],0),0),"ERROR"))</f>
        <v>0.83830711771888256</v>
      </c>
      <c r="O17" s="162">
        <f>IF($B17=" ","",IFERROR(VLOOKUP($B17,MMWR_ACCURACY_RO[],MATCH(O$9,MMWR_ACCURACY_RO[#Headers],0),0),"ERROR"))</f>
        <v>4.9479304242210628E-2</v>
      </c>
      <c r="P17" s="28"/>
    </row>
    <row r="18" spans="1:16" x14ac:dyDescent="0.2">
      <c r="A18" s="25"/>
      <c r="B18" s="8" t="str">
        <f>VLOOKUP($B$16,DISTRICT_RO[],3,0)</f>
        <v>Boston VSC</v>
      </c>
      <c r="C18" s="157">
        <f>IF($B18=" ","",IFERROR(INDEX(MMWR_RATING_RO_ROLLUP[],MATCH($B18,MMWR_RATING_RO_ROLLUP[MMWR_RATING_RO_ROLLUP],0),MATCH(C$9,MMWR_RATING_RO_ROLLUP[#Headers],0)),"ERROR"))</f>
        <v>4214</v>
      </c>
      <c r="D18" s="158">
        <f>IF($B18=" ","",IFERROR(INDEX(MMWR_RATING_RO_ROLLUP[],MATCH($B18,MMWR_RATING_RO_ROLLUP[MMWR_RATING_RO_ROLLUP],0),MATCH(D$9,MMWR_RATING_RO_ROLLUP[#Headers],0)),"ERROR"))</f>
        <v>108.1888941623</v>
      </c>
      <c r="E18" s="159">
        <f>IF($B18=" ","",IFERROR(INDEX(MMWR_RATING_RO_ROLLUP[],MATCH($B18,MMWR_RATING_RO_ROLLUP[MMWR_RATING_RO_ROLLUP],0),MATCH(E$9,MMWR_RATING_RO_ROLLUP[#Headers],0))/$C18,"ERROR"))</f>
        <v>0.24988134788799241</v>
      </c>
      <c r="F18" s="157">
        <f>IF($B18=" ","",IFERROR(INDEX(MMWR_RATING_RO_ROLLUP[],MATCH($B18,MMWR_RATING_RO_ROLLUP[MMWR_RATING_RO_ROLLUP],0),MATCH(F$9,MMWR_RATING_RO_ROLLUP[#Headers],0)),"ERROR"))</f>
        <v>613</v>
      </c>
      <c r="G18" s="157">
        <f>IF($B18=" ","",IFERROR(INDEX(MMWR_RATING_RO_ROLLUP[],MATCH($B18,MMWR_RATING_RO_ROLLUP[MMWR_RATING_RO_ROLLUP],0),MATCH(G$9,MMWR_RATING_RO_ROLLUP[#Headers],0)),"ERROR"))</f>
        <v>7282</v>
      </c>
      <c r="H18" s="158">
        <f>IF($B18=" ","",IFERROR(INDEX(MMWR_RATING_RO_ROLLUP[],MATCH($B18,MMWR_RATING_RO_ROLLUP[MMWR_RATING_RO_ROLLUP],0),MATCH(H$9,MMWR_RATING_RO_ROLLUP[#Headers],0)),"ERROR"))</f>
        <v>196.71778140289999</v>
      </c>
      <c r="I18" s="158">
        <f>IF($B18=" ","",IFERROR(INDEX(MMWR_RATING_RO_ROLLUP[],MATCH($B18,MMWR_RATING_RO_ROLLUP[MMWR_RATING_RO_ROLLUP],0),MATCH(I$9,MMWR_RATING_RO_ROLLUP[#Headers],0)),"ERROR"))</f>
        <v>212.9990387256</v>
      </c>
      <c r="J18" s="162">
        <f>IF($B18=" ","",IFERROR(VLOOKUP($B18,MMWR_ACCURACY_RO[],MATCH(J$9,MMWR_ACCURACY_RO[#Headers],0),0),"ERROR"))</f>
        <v>0.89547703739678575</v>
      </c>
      <c r="K18" s="162">
        <f>IF($B18=" ","",IFERROR(VLOOKUP($B18,MMWR_ACCURACY_RO[],MATCH(K$9,MMWR_ACCURACY_RO[#Headers],0),0),"ERROR"))</f>
        <v>0.85724912090884497</v>
      </c>
      <c r="L18" s="162">
        <f>IF($B18=" ","",IFERROR(VLOOKUP($B18,MMWR_ACCURACY_RO[],MATCH(L$9,MMWR_ACCURACY_RO[#Headers],0),0),"ERROR"))</f>
        <v>0.88080231846990087</v>
      </c>
      <c r="M18" s="162">
        <f>IF($B18=" ","",IFERROR(VLOOKUP($B18,MMWR_ACCURACY_RO[],MATCH(M$9,MMWR_ACCURACY_RO[#Headers],0),0),"ERROR"))</f>
        <v>4.8730308413492907E-2</v>
      </c>
      <c r="N18" s="162">
        <f>IF($B18=" ","",IFERROR(VLOOKUP($B18,MMWR_ACCURACY_RO[],MATCH(N$9,MMWR_ACCURACY_RO[#Headers],0),0),"ERROR"))</f>
        <v>0.87561903097797933</v>
      </c>
      <c r="O18" s="162">
        <f>IF($B18=" ","",IFERROR(VLOOKUP($B18,MMWR_ACCURACY_RO[],MATCH(O$9,MMWR_ACCURACY_RO[#Headers],0),0),"ERROR"))</f>
        <v>5.9075420563334619E-2</v>
      </c>
      <c r="P18" s="28"/>
    </row>
    <row r="19" spans="1:16" x14ac:dyDescent="0.2">
      <c r="A19" s="25"/>
      <c r="B19" s="8" t="str">
        <f>VLOOKUP($B$16,DISTRICT_RO[],4,0)</f>
        <v>Buffalo VSC</v>
      </c>
      <c r="C19" s="157">
        <f>IF($B19=" ","",IFERROR(INDEX(MMWR_RATING_RO_ROLLUP[],MATCH($B19,MMWR_RATING_RO_ROLLUP[MMWR_RATING_RO_ROLLUP],0),MATCH(C$9,MMWR_RATING_RO_ROLLUP[#Headers],0)),"ERROR"))</f>
        <v>3987</v>
      </c>
      <c r="D19" s="158">
        <f>IF($B19=" ","",IFERROR(INDEX(MMWR_RATING_RO_ROLLUP[],MATCH($B19,MMWR_RATING_RO_ROLLUP[MMWR_RATING_RO_ROLLUP],0),MATCH(D$9,MMWR_RATING_RO_ROLLUP[#Headers],0)),"ERROR"))</f>
        <v>104.57336343119999</v>
      </c>
      <c r="E19" s="159">
        <f>IF($B19=" ","",IFERROR(INDEX(MMWR_RATING_RO_ROLLUP[],MATCH($B19,MMWR_RATING_RO_ROLLUP[MMWR_RATING_RO_ROLLUP],0),MATCH(E$9,MMWR_RATING_RO_ROLLUP[#Headers],0))/$C19,"ERROR"))</f>
        <v>0.24981188863807374</v>
      </c>
      <c r="F19" s="157">
        <f>IF($B19=" ","",IFERROR(INDEX(MMWR_RATING_RO_ROLLUP[],MATCH($B19,MMWR_RATING_RO_ROLLUP[MMWR_RATING_RO_ROLLUP],0),MATCH(F$9,MMWR_RATING_RO_ROLLUP[#Headers],0)),"ERROR"))</f>
        <v>821</v>
      </c>
      <c r="G19" s="157">
        <f>IF($B19=" ","",IFERROR(INDEX(MMWR_RATING_RO_ROLLUP[],MATCH($B19,MMWR_RATING_RO_ROLLUP[MMWR_RATING_RO_ROLLUP],0),MATCH(G$9,MMWR_RATING_RO_ROLLUP[#Headers],0)),"ERROR"))</f>
        <v>8489</v>
      </c>
      <c r="H19" s="158">
        <f>IF($B19=" ","",IFERROR(INDEX(MMWR_RATING_RO_ROLLUP[],MATCH($B19,MMWR_RATING_RO_ROLLUP[MMWR_RATING_RO_ROLLUP],0),MATCH(H$9,MMWR_RATING_RO_ROLLUP[#Headers],0)),"ERROR"))</f>
        <v>168.4701583435</v>
      </c>
      <c r="I19" s="158">
        <f>IF($B19=" ","",IFERROR(INDEX(MMWR_RATING_RO_ROLLUP[],MATCH($B19,MMWR_RATING_RO_ROLLUP[MMWR_RATING_RO_ROLLUP],0),MATCH(I$9,MMWR_RATING_RO_ROLLUP[#Headers],0)),"ERROR"))</f>
        <v>217.27859582990001</v>
      </c>
      <c r="J19" s="162">
        <f>IF($B19=" ","",IFERROR(VLOOKUP($B19,MMWR_ACCURACY_RO[],MATCH(J$9,MMWR_ACCURACY_RO[#Headers],0),0),"ERROR"))</f>
        <v>0.90460762202875344</v>
      </c>
      <c r="K19" s="162">
        <f>IF($B19=" ","",IFERROR(VLOOKUP($B19,MMWR_ACCURACY_RO[],MATCH(K$9,MMWR_ACCURACY_RO[#Headers],0),0),"ERROR"))</f>
        <v>0.84031885306905862</v>
      </c>
      <c r="L19" s="162">
        <f>IF($B19=" ","",IFERROR(VLOOKUP($B19,MMWR_ACCURACY_RO[],MATCH(L$9,MMWR_ACCURACY_RO[#Headers],0),0),"ERROR"))</f>
        <v>0.90570831544016039</v>
      </c>
      <c r="M19" s="162">
        <f>IF($B19=" ","",IFERROR(VLOOKUP($B19,MMWR_ACCURACY_RO[],MATCH(M$9,MMWR_ACCURACY_RO[#Headers],0),0),"ERROR"))</f>
        <v>4.1002036623732113E-2</v>
      </c>
      <c r="N19" s="162">
        <f>IF($B19=" ","",IFERROR(VLOOKUP($B19,MMWR_ACCURACY_RO[],MATCH(N$9,MMWR_ACCURACY_RO[#Headers],0),0),"ERROR"))</f>
        <v>0.87463737062674474</v>
      </c>
      <c r="O19" s="162">
        <f>IF($B19=" ","",IFERROR(VLOOKUP($B19,MMWR_ACCURACY_RO[],MATCH(O$9,MMWR_ACCURACY_RO[#Headers],0),0),"ERROR"))</f>
        <v>4.3542756692518267E-2</v>
      </c>
      <c r="P19" s="28"/>
    </row>
    <row r="20" spans="1:16" x14ac:dyDescent="0.2">
      <c r="A20" s="25"/>
      <c r="B20" s="8" t="str">
        <f>VLOOKUP($B$16,DISTRICT_RO[],5,0)</f>
        <v>Hartford VSC</v>
      </c>
      <c r="C20" s="157">
        <f>IF($B20=" ","",IFERROR(INDEX(MMWR_RATING_RO_ROLLUP[],MATCH($B20,MMWR_RATING_RO_ROLLUP[MMWR_RATING_RO_ROLLUP],0),MATCH(C$9,MMWR_RATING_RO_ROLLUP[#Headers],0)),"ERROR"))</f>
        <v>3223</v>
      </c>
      <c r="D20" s="158">
        <f>IF($B20=" ","",IFERROR(INDEX(MMWR_RATING_RO_ROLLUP[],MATCH($B20,MMWR_RATING_RO_ROLLUP[MMWR_RATING_RO_ROLLUP],0),MATCH(D$9,MMWR_RATING_RO_ROLLUP[#Headers],0)),"ERROR"))</f>
        <v>119.3468817872</v>
      </c>
      <c r="E20" s="159">
        <f>IF($B20=" ","",IFERROR(INDEX(MMWR_RATING_RO_ROLLUP[],MATCH($B20,MMWR_RATING_RO_ROLLUP[MMWR_RATING_RO_ROLLUP],0),MATCH(E$9,MMWR_RATING_RO_ROLLUP[#Headers],0))/$C20,"ERROR"))</f>
        <v>0.37635743096493951</v>
      </c>
      <c r="F20" s="157">
        <f>IF($B20=" ","",IFERROR(INDEX(MMWR_RATING_RO_ROLLUP[],MATCH($B20,MMWR_RATING_RO_ROLLUP[MMWR_RATING_RO_ROLLUP],0),MATCH(F$9,MMWR_RATING_RO_ROLLUP[#Headers],0)),"ERROR"))</f>
        <v>516</v>
      </c>
      <c r="G20" s="157">
        <f>IF($B20=" ","",IFERROR(INDEX(MMWR_RATING_RO_ROLLUP[],MATCH($B20,MMWR_RATING_RO_ROLLUP[MMWR_RATING_RO_ROLLUP],0),MATCH(G$9,MMWR_RATING_RO_ROLLUP[#Headers],0)),"ERROR"))</f>
        <v>7113</v>
      </c>
      <c r="H20" s="158">
        <f>IF($B20=" ","",IFERROR(INDEX(MMWR_RATING_RO_ROLLUP[],MATCH($B20,MMWR_RATING_RO_ROLLUP[MMWR_RATING_RO_ROLLUP],0),MATCH(H$9,MMWR_RATING_RO_ROLLUP[#Headers],0)),"ERROR"))</f>
        <v>177.32751937980001</v>
      </c>
      <c r="I20" s="158">
        <f>IF($B20=" ","",IFERROR(INDEX(MMWR_RATING_RO_ROLLUP[],MATCH($B20,MMWR_RATING_RO_ROLLUP[MMWR_RATING_RO_ROLLUP],0),MATCH(I$9,MMWR_RATING_RO_ROLLUP[#Headers],0)),"ERROR"))</f>
        <v>175.7685927176</v>
      </c>
      <c r="J20" s="162">
        <f>IF($B20=" ","",IFERROR(VLOOKUP($B20,MMWR_ACCURACY_RO[],MATCH(J$9,MMWR_ACCURACY_RO[#Headers],0),0),"ERROR"))</f>
        <v>0.96061599959001698</v>
      </c>
      <c r="K20" s="162">
        <f>IF($B20=" ","",IFERROR(VLOOKUP($B20,MMWR_ACCURACY_RO[],MATCH(K$9,MMWR_ACCURACY_RO[#Headers],0),0),"ERROR"))</f>
        <v>0.92735426008968613</v>
      </c>
      <c r="L20" s="162">
        <f>IF($B20=" ","",IFERROR(VLOOKUP($B20,MMWR_ACCURACY_RO[],MATCH(L$9,MMWR_ACCURACY_RO[#Headers],0),0),"ERROR"))</f>
        <v>0.93565771383262453</v>
      </c>
      <c r="M20" s="162">
        <f>IF($B20=" ","",IFERROR(VLOOKUP($B20,MMWR_ACCURACY_RO[],MATCH(M$9,MMWR_ACCURACY_RO[#Headers],0),0),"ERROR"))</f>
        <v>3.2359269054381912E-2</v>
      </c>
      <c r="N20" s="162">
        <f>IF($B20=" ","",IFERROR(VLOOKUP($B20,MMWR_ACCURACY_RO[],MATCH(N$9,MMWR_ACCURACY_RO[#Headers],0),0),"ERROR"))</f>
        <v>0.97464881883895971</v>
      </c>
      <c r="O20" s="162">
        <f>IF($B20=" ","",IFERROR(VLOOKUP($B20,MMWR_ACCURACY_RO[],MATCH(O$9,MMWR_ACCURACY_RO[#Headers],0),0),"ERROR"))</f>
        <v>2.6565834709229037E-2</v>
      </c>
      <c r="P20" s="28"/>
    </row>
    <row r="21" spans="1:16" x14ac:dyDescent="0.2">
      <c r="A21" s="25"/>
      <c r="B21" s="8" t="str">
        <f>VLOOKUP($B$16,DISTRICT_RO[],6,0)</f>
        <v>Huntington VSC</v>
      </c>
      <c r="C21" s="157">
        <f>IF($B21=" ","",IFERROR(INDEX(MMWR_RATING_RO_ROLLUP[],MATCH($B21,MMWR_RATING_RO_ROLLUP[MMWR_RATING_RO_ROLLUP],0),MATCH(C$9,MMWR_RATING_RO_ROLLUP[#Headers],0)),"ERROR"))</f>
        <v>4959</v>
      </c>
      <c r="D21" s="158">
        <f>IF($B21=" ","",IFERROR(INDEX(MMWR_RATING_RO_ROLLUP[],MATCH($B21,MMWR_RATING_RO_ROLLUP[MMWR_RATING_RO_ROLLUP],0),MATCH(D$9,MMWR_RATING_RO_ROLLUP[#Headers],0)),"ERROR"))</f>
        <v>139.95684613829999</v>
      </c>
      <c r="E21" s="159">
        <f>IF($B21=" ","",IFERROR(INDEX(MMWR_RATING_RO_ROLLUP[],MATCH($B21,MMWR_RATING_RO_ROLLUP[MMWR_RATING_RO_ROLLUP],0),MATCH(E$9,MMWR_RATING_RO_ROLLUP[#Headers],0))/$C21,"ERROR"))</f>
        <v>0.42508570276265378</v>
      </c>
      <c r="F21" s="157">
        <f>IF($B21=" ","",IFERROR(INDEX(MMWR_RATING_RO_ROLLUP[],MATCH($B21,MMWR_RATING_RO_ROLLUP[MMWR_RATING_RO_ROLLUP],0),MATCH(F$9,MMWR_RATING_RO_ROLLUP[#Headers],0)),"ERROR"))</f>
        <v>1286</v>
      </c>
      <c r="G21" s="157">
        <f>IF($B21=" ","",IFERROR(INDEX(MMWR_RATING_RO_ROLLUP[],MATCH($B21,MMWR_RATING_RO_ROLLUP[MMWR_RATING_RO_ROLLUP],0),MATCH(G$9,MMWR_RATING_RO_ROLLUP[#Headers],0)),"ERROR"))</f>
        <v>13108</v>
      </c>
      <c r="H21" s="158">
        <f>IF($B21=" ","",IFERROR(INDEX(MMWR_RATING_RO_ROLLUP[],MATCH($B21,MMWR_RATING_RO_ROLLUP[MMWR_RATING_RO_ROLLUP],0),MATCH(H$9,MMWR_RATING_RO_ROLLUP[#Headers],0)),"ERROR"))</f>
        <v>174.46967340590001</v>
      </c>
      <c r="I21" s="158">
        <f>IF($B21=" ","",IFERROR(INDEX(MMWR_RATING_RO_ROLLUP[],MATCH($B21,MMWR_RATING_RO_ROLLUP[MMWR_RATING_RO_ROLLUP],0),MATCH(I$9,MMWR_RATING_RO_ROLLUP[#Headers],0)),"ERROR"))</f>
        <v>182.0780439426</v>
      </c>
      <c r="J21" s="162">
        <f>IF($B21=" ","",IFERROR(VLOOKUP($B21,MMWR_ACCURACY_RO[],MATCH(J$9,MMWR_ACCURACY_RO[#Headers],0),0),"ERROR"))</f>
        <v>0.88047528089071614</v>
      </c>
      <c r="K21" s="162">
        <f>IF($B21=" ","",IFERROR(VLOOKUP($B21,MMWR_ACCURACY_RO[],MATCH(K$9,MMWR_ACCURACY_RO[#Headers],0),0),"ERROR"))</f>
        <v>0.85989691242609534</v>
      </c>
      <c r="L21" s="162">
        <f>IF($B21=" ","",IFERROR(VLOOKUP($B21,MMWR_ACCURACY_RO[],MATCH(L$9,MMWR_ACCURACY_RO[#Headers],0),0),"ERROR"))</f>
        <v>0.91264354378571755</v>
      </c>
      <c r="M21" s="162">
        <f>IF($B21=" ","",IFERROR(VLOOKUP($B21,MMWR_ACCURACY_RO[],MATCH(M$9,MMWR_ACCURACY_RO[#Headers],0),0),"ERROR"))</f>
        <v>3.9663167617869491E-2</v>
      </c>
      <c r="N21" s="162">
        <f>IF($B21=" ","",IFERROR(VLOOKUP($B21,MMWR_ACCURACY_RO[],MATCH(N$9,MMWR_ACCURACY_RO[#Headers],0),0),"ERROR"))</f>
        <v>0.93151672050268219</v>
      </c>
      <c r="O21" s="162">
        <f>IF($B21=" ","",IFERROR(VLOOKUP($B21,MMWR_ACCURACY_RO[],MATCH(O$9,MMWR_ACCURACY_RO[#Headers],0),0),"ERROR"))</f>
        <v>3.8916220579615697E-2</v>
      </c>
      <c r="P21" s="28"/>
    </row>
    <row r="22" spans="1:16" x14ac:dyDescent="0.2">
      <c r="A22" s="25"/>
      <c r="B22" s="8" t="str">
        <f>VLOOKUP($B$16,DISTRICT_RO[],7,0)</f>
        <v>Manchester VSC</v>
      </c>
      <c r="C22" s="157">
        <f>IF($B22=" ","",IFERROR(INDEX(MMWR_RATING_RO_ROLLUP[],MATCH($B22,MMWR_RATING_RO_ROLLUP[MMWR_RATING_RO_ROLLUP],0),MATCH(C$9,MMWR_RATING_RO_ROLLUP[#Headers],0)),"ERROR"))</f>
        <v>1554</v>
      </c>
      <c r="D22" s="158">
        <f>IF($B22=" ","",IFERROR(INDEX(MMWR_RATING_RO_ROLLUP[],MATCH($B22,MMWR_RATING_RO_ROLLUP[MMWR_RATING_RO_ROLLUP],0),MATCH(D$9,MMWR_RATING_RO_ROLLUP[#Headers],0)),"ERROR"))</f>
        <v>125.1898326898</v>
      </c>
      <c r="E22" s="159">
        <f>IF($B22=" ","",IFERROR(INDEX(MMWR_RATING_RO_ROLLUP[],MATCH($B22,MMWR_RATING_RO_ROLLUP[MMWR_RATING_RO_ROLLUP],0),MATCH(E$9,MMWR_RATING_RO_ROLLUP[#Headers],0))/$C22,"ERROR"))</f>
        <v>0.32754182754182753</v>
      </c>
      <c r="F22" s="157">
        <f>IF($B22=" ","",IFERROR(INDEX(MMWR_RATING_RO_ROLLUP[],MATCH($B22,MMWR_RATING_RO_ROLLUP[MMWR_RATING_RO_ROLLUP],0),MATCH(F$9,MMWR_RATING_RO_ROLLUP[#Headers],0)),"ERROR"))</f>
        <v>314</v>
      </c>
      <c r="G22" s="157">
        <f>IF($B22=" ","",IFERROR(INDEX(MMWR_RATING_RO_ROLLUP[],MATCH($B22,MMWR_RATING_RO_ROLLUP[MMWR_RATING_RO_ROLLUP],0),MATCH(G$9,MMWR_RATING_RO_ROLLUP[#Headers],0)),"ERROR"))</f>
        <v>3461</v>
      </c>
      <c r="H22" s="158">
        <f>IF($B22=" ","",IFERROR(INDEX(MMWR_RATING_RO_ROLLUP[],MATCH($B22,MMWR_RATING_RO_ROLLUP[MMWR_RATING_RO_ROLLUP],0),MATCH(H$9,MMWR_RATING_RO_ROLLUP[#Headers],0)),"ERROR"))</f>
        <v>177.70700636940001</v>
      </c>
      <c r="I22" s="158">
        <f>IF($B22=" ","",IFERROR(INDEX(MMWR_RATING_RO_ROLLUP[],MATCH($B22,MMWR_RATING_RO_ROLLUP[MMWR_RATING_RO_ROLLUP],0),MATCH(I$9,MMWR_RATING_RO_ROLLUP[#Headers],0)),"ERROR"))</f>
        <v>196.4614273331</v>
      </c>
      <c r="J22" s="162">
        <f>IF($B22=" ","",IFERROR(VLOOKUP($B22,MMWR_ACCURACY_RO[],MATCH(J$9,MMWR_ACCURACY_RO[#Headers],0),0),"ERROR"))</f>
        <v>0.94562122567128137</v>
      </c>
      <c r="K22" s="162">
        <f>IF($B22=" ","",IFERROR(VLOOKUP($B22,MMWR_ACCURACY_RO[],MATCH(K$9,MMWR_ACCURACY_RO[#Headers],0),0),"ERROR"))</f>
        <v>0.88989076184198135</v>
      </c>
      <c r="L22" s="162">
        <f>IF($B22=" ","",IFERROR(VLOOKUP($B22,MMWR_ACCURACY_RO[],MATCH(L$9,MMWR_ACCURACY_RO[#Headers],0),0),"ERROR"))</f>
        <v>0.90027656773516762</v>
      </c>
      <c r="M22" s="162">
        <f>IF($B22=" ","",IFERROR(VLOOKUP($B22,MMWR_ACCURACY_RO[],MATCH(M$9,MMWR_ACCURACY_RO[#Headers],0),0),"ERROR"))</f>
        <v>4.3131920360894679E-2</v>
      </c>
      <c r="N22" s="162">
        <f>IF($B22=" ","",IFERROR(VLOOKUP($B22,MMWR_ACCURACY_RO[],MATCH(N$9,MMWR_ACCURACY_RO[#Headers],0),0),"ERROR"))</f>
        <v>0.93063214403375671</v>
      </c>
      <c r="O22" s="162">
        <f>IF($B22=" ","",IFERROR(VLOOKUP($B22,MMWR_ACCURACY_RO[],MATCH(O$9,MMWR_ACCURACY_RO[#Headers],0),0),"ERROR"))</f>
        <v>2.9201016572666133E-2</v>
      </c>
      <c r="P22" s="28"/>
    </row>
    <row r="23" spans="1:16" x14ac:dyDescent="0.2">
      <c r="A23" s="25"/>
      <c r="B23" s="8" t="str">
        <f>VLOOKUP($B$16,DISTRICT_RO[],8,0)</f>
        <v>New York VSC</v>
      </c>
      <c r="C23" s="157">
        <f>IF($B23=" ","",IFERROR(INDEX(MMWR_RATING_RO_ROLLUP[],MATCH($B23,MMWR_RATING_RO_ROLLUP[MMWR_RATING_RO_ROLLUP],0),MATCH(C$9,MMWR_RATING_RO_ROLLUP[#Headers],0)),"ERROR"))</f>
        <v>4270</v>
      </c>
      <c r="D23" s="158">
        <f>IF($B23=" ","",IFERROR(INDEX(MMWR_RATING_RO_ROLLUP[],MATCH($B23,MMWR_RATING_RO_ROLLUP[MMWR_RATING_RO_ROLLUP],0),MATCH(D$9,MMWR_RATING_RO_ROLLUP[#Headers],0)),"ERROR"))</f>
        <v>113.7231850117</v>
      </c>
      <c r="E23" s="159">
        <f>IF($B23=" ","",IFERROR(INDEX(MMWR_RATING_RO_ROLLUP[],MATCH($B23,MMWR_RATING_RO_ROLLUP[MMWR_RATING_RO_ROLLUP],0),MATCH(E$9,MMWR_RATING_RO_ROLLUP[#Headers],0))/$C23,"ERROR"))</f>
        <v>0.33325526932084309</v>
      </c>
      <c r="F23" s="157">
        <f>IF($B23=" ","",IFERROR(INDEX(MMWR_RATING_RO_ROLLUP[],MATCH($B23,MMWR_RATING_RO_ROLLUP[MMWR_RATING_RO_ROLLUP],0),MATCH(F$9,MMWR_RATING_RO_ROLLUP[#Headers],0)),"ERROR"))</f>
        <v>990</v>
      </c>
      <c r="G23" s="157">
        <f>IF($B23=" ","",IFERROR(INDEX(MMWR_RATING_RO_ROLLUP[],MATCH($B23,MMWR_RATING_RO_ROLLUP[MMWR_RATING_RO_ROLLUP],0),MATCH(G$9,MMWR_RATING_RO_ROLLUP[#Headers],0)),"ERROR"))</f>
        <v>10222</v>
      </c>
      <c r="H23" s="158">
        <f>IF($B23=" ","",IFERROR(INDEX(MMWR_RATING_RO_ROLLUP[],MATCH($B23,MMWR_RATING_RO_ROLLUP[MMWR_RATING_RO_ROLLUP],0),MATCH(H$9,MMWR_RATING_RO_ROLLUP[#Headers],0)),"ERROR"))</f>
        <v>164.27373737369999</v>
      </c>
      <c r="I23" s="158">
        <f>IF($B23=" ","",IFERROR(INDEX(MMWR_RATING_RO_ROLLUP[],MATCH($B23,MMWR_RATING_RO_ROLLUP[MMWR_RATING_RO_ROLLUP],0),MATCH(I$9,MMWR_RATING_RO_ROLLUP[#Headers],0)),"ERROR"))</f>
        <v>201.04656622970001</v>
      </c>
      <c r="J23" s="162">
        <f>IF($B23=" ","",IFERROR(VLOOKUP($B23,MMWR_ACCURACY_RO[],MATCH(J$9,MMWR_ACCURACY_RO[#Headers],0),0),"ERROR"))</f>
        <v>0.94380649199729905</v>
      </c>
      <c r="K23" s="162">
        <f>IF($B23=" ","",IFERROR(VLOOKUP($B23,MMWR_ACCURACY_RO[],MATCH(K$9,MMWR_ACCURACY_RO[#Headers],0),0),"ERROR"))</f>
        <v>0.89254704199909662</v>
      </c>
      <c r="L23" s="162">
        <f>IF($B23=" ","",IFERROR(VLOOKUP($B23,MMWR_ACCURACY_RO[],MATCH(L$9,MMWR_ACCURACY_RO[#Headers],0),0),"ERROR"))</f>
        <v>0.90507961152224692</v>
      </c>
      <c r="M23" s="162">
        <f>IF($B23=" ","",IFERROR(VLOOKUP($B23,MMWR_ACCURACY_RO[],MATCH(M$9,MMWR_ACCURACY_RO[#Headers],0),0),"ERROR"))</f>
        <v>4.2516139834241858E-2</v>
      </c>
      <c r="N23" s="162">
        <f>IF($B23=" ","",IFERROR(VLOOKUP($B23,MMWR_ACCURACY_RO[],MATCH(N$9,MMWR_ACCURACY_RO[#Headers],0),0),"ERROR"))</f>
        <v>0.89503876121664161</v>
      </c>
      <c r="O23" s="162">
        <f>IF($B23=" ","",IFERROR(VLOOKUP($B23,MMWR_ACCURACY_RO[],MATCH(O$9,MMWR_ACCURACY_RO[#Headers],0),0),"ERROR"))</f>
        <v>4.5780591180819244E-2</v>
      </c>
      <c r="P23" s="28"/>
    </row>
    <row r="24" spans="1:16" x14ac:dyDescent="0.2">
      <c r="A24" s="25"/>
      <c r="B24" s="8" t="str">
        <f>VLOOKUP($B$16,DISTRICT_RO[],9,0)</f>
        <v>Newark VSC</v>
      </c>
      <c r="C24" s="157">
        <f>IF($B24=" ","",IFERROR(INDEX(MMWR_RATING_RO_ROLLUP[],MATCH($B24,MMWR_RATING_RO_ROLLUP[MMWR_RATING_RO_ROLLUP],0),MATCH(C$9,MMWR_RATING_RO_ROLLUP[#Headers],0)),"ERROR"))</f>
        <v>2683</v>
      </c>
      <c r="D24" s="158">
        <f>IF($B24=" ","",IFERROR(INDEX(MMWR_RATING_RO_ROLLUP[],MATCH($B24,MMWR_RATING_RO_ROLLUP[MMWR_RATING_RO_ROLLUP],0),MATCH(D$9,MMWR_RATING_RO_ROLLUP[#Headers],0)),"ERROR"))</f>
        <v>117.4308609765</v>
      </c>
      <c r="E24" s="159">
        <f>IF($B24=" ","",IFERROR(INDEX(MMWR_RATING_RO_ROLLUP[],MATCH($B24,MMWR_RATING_RO_ROLLUP[MMWR_RATING_RO_ROLLUP],0),MATCH(E$9,MMWR_RATING_RO_ROLLUP[#Headers],0))/$C24,"ERROR"))</f>
        <v>0.36712635109951547</v>
      </c>
      <c r="F24" s="157">
        <f>IF($B24=" ","",IFERROR(INDEX(MMWR_RATING_RO_ROLLUP[],MATCH($B24,MMWR_RATING_RO_ROLLUP[MMWR_RATING_RO_ROLLUP],0),MATCH(F$9,MMWR_RATING_RO_ROLLUP[#Headers],0)),"ERROR"))</f>
        <v>389</v>
      </c>
      <c r="G24" s="157">
        <f>IF($B24=" ","",IFERROR(INDEX(MMWR_RATING_RO_ROLLUP[],MATCH($B24,MMWR_RATING_RO_ROLLUP[MMWR_RATING_RO_ROLLUP],0),MATCH(G$9,MMWR_RATING_RO_ROLLUP[#Headers],0)),"ERROR"))</f>
        <v>5494</v>
      </c>
      <c r="H24" s="158">
        <f>IF($B24=" ","",IFERROR(INDEX(MMWR_RATING_RO_ROLLUP[],MATCH($B24,MMWR_RATING_RO_ROLLUP[MMWR_RATING_RO_ROLLUP],0),MATCH(H$9,MMWR_RATING_RO_ROLLUP[#Headers],0)),"ERROR"))</f>
        <v>181.3367609254</v>
      </c>
      <c r="I24" s="158">
        <f>IF($B24=" ","",IFERROR(INDEX(MMWR_RATING_RO_ROLLUP[],MATCH($B24,MMWR_RATING_RO_ROLLUP[MMWR_RATING_RO_ROLLUP],0),MATCH(I$9,MMWR_RATING_RO_ROLLUP[#Headers],0)),"ERROR"))</f>
        <v>168.69821623589999</v>
      </c>
      <c r="J24" s="162">
        <f>IF($B24=" ","",IFERROR(VLOOKUP($B24,MMWR_ACCURACY_RO[],MATCH(J$9,MMWR_ACCURACY_RO[#Headers],0),0),"ERROR"))</f>
        <v>0.95362548688336601</v>
      </c>
      <c r="K24" s="162">
        <f>IF($B24=" ","",IFERROR(VLOOKUP($B24,MMWR_ACCURACY_RO[],MATCH(K$9,MMWR_ACCURACY_RO[#Headers],0),0),"ERROR"))</f>
        <v>0.88282261545101415</v>
      </c>
      <c r="L24" s="162">
        <f>IF($B24=" ","",IFERROR(VLOOKUP($B24,MMWR_ACCURACY_RO[],MATCH(L$9,MMWR_ACCURACY_RO[#Headers],0),0),"ERROR"))</f>
        <v>0.86581783171170357</v>
      </c>
      <c r="M24" s="162">
        <f>IF($B24=" ","",IFERROR(VLOOKUP($B24,MMWR_ACCURACY_RO[],MATCH(M$9,MMWR_ACCURACY_RO[#Headers],0),0),"ERROR"))</f>
        <v>4.4544866268599888E-2</v>
      </c>
      <c r="N24" s="162">
        <f>IF($B24=" ","",IFERROR(VLOOKUP($B24,MMWR_ACCURACY_RO[],MATCH(N$9,MMWR_ACCURACY_RO[#Headers],0),0),"ERROR"))</f>
        <v>0.84286298940536586</v>
      </c>
      <c r="O24" s="162">
        <f>IF($B24=" ","",IFERROR(VLOOKUP($B24,MMWR_ACCURACY_RO[],MATCH(O$9,MMWR_ACCURACY_RO[#Headers],0),0),"ERROR"))</f>
        <v>4.4991386866490402E-2</v>
      </c>
      <c r="P24" s="28"/>
    </row>
    <row r="25" spans="1:16" x14ac:dyDescent="0.2">
      <c r="A25" s="25"/>
      <c r="B25" s="8" t="str">
        <f>VLOOKUP($B$16,DISTRICT_RO[],10,0)</f>
        <v>Philadelphia VSC</v>
      </c>
      <c r="C25" s="157">
        <f>IF($B25=" ","",IFERROR(INDEX(MMWR_RATING_RO_ROLLUP[],MATCH($B25,MMWR_RATING_RO_ROLLUP[MMWR_RATING_RO_ROLLUP],0),MATCH(C$9,MMWR_RATING_RO_ROLLUP[#Headers],0)),"ERROR"))</f>
        <v>9045</v>
      </c>
      <c r="D25" s="158">
        <f>IF($B25=" ","",IFERROR(INDEX(MMWR_RATING_RO_ROLLUP[],MATCH($B25,MMWR_RATING_RO_ROLLUP[MMWR_RATING_RO_ROLLUP],0),MATCH(D$9,MMWR_RATING_RO_ROLLUP[#Headers],0)),"ERROR"))</f>
        <v>143.3804311774</v>
      </c>
      <c r="E25" s="159">
        <f>IF($B25=" ","",IFERROR(INDEX(MMWR_RATING_RO_ROLLUP[],MATCH($B25,MMWR_RATING_RO_ROLLUP[MMWR_RATING_RO_ROLLUP],0),MATCH(E$9,MMWR_RATING_RO_ROLLUP[#Headers],0))/$C25,"ERROR"))</f>
        <v>0.4400221116639027</v>
      </c>
      <c r="F25" s="157">
        <f>IF($B25=" ","",IFERROR(INDEX(MMWR_RATING_RO_ROLLUP[],MATCH($B25,MMWR_RATING_RO_ROLLUP[MMWR_RATING_RO_ROLLUP],0),MATCH(F$9,MMWR_RATING_RO_ROLLUP[#Headers],0)),"ERROR"))</f>
        <v>1707</v>
      </c>
      <c r="G25" s="157">
        <f>IF($B25=" ","",IFERROR(INDEX(MMWR_RATING_RO_ROLLUP[],MATCH($B25,MMWR_RATING_RO_ROLLUP[MMWR_RATING_RO_ROLLUP],0),MATCH(G$9,MMWR_RATING_RO_ROLLUP[#Headers],0)),"ERROR"))</f>
        <v>22242</v>
      </c>
      <c r="H25" s="158">
        <f>IF($B25=" ","",IFERROR(INDEX(MMWR_RATING_RO_ROLLUP[],MATCH($B25,MMWR_RATING_RO_ROLLUP[MMWR_RATING_RO_ROLLUP],0),MATCH(H$9,MMWR_RATING_RO_ROLLUP[#Headers],0)),"ERROR"))</f>
        <v>209.49326303460001</v>
      </c>
      <c r="I25" s="158">
        <f>IF($B25=" ","",IFERROR(INDEX(MMWR_RATING_RO_ROLLUP[],MATCH($B25,MMWR_RATING_RO_ROLLUP[MMWR_RATING_RO_ROLLUP],0),MATCH(I$9,MMWR_RATING_RO_ROLLUP[#Headers],0)),"ERROR"))</f>
        <v>236.28828342770001</v>
      </c>
      <c r="J25" s="162">
        <f>IF($B25=" ","",IFERROR(VLOOKUP($B25,MMWR_ACCURACY_RO[],MATCH(J$9,MMWR_ACCURACY_RO[#Headers],0),0),"ERROR"))</f>
        <v>0.90865213041132786</v>
      </c>
      <c r="K25" s="162">
        <f>IF($B25=" ","",IFERROR(VLOOKUP($B25,MMWR_ACCURACY_RO[],MATCH(K$9,MMWR_ACCURACY_RO[#Headers],0),0),"ERROR"))</f>
        <v>0.78308141584780711</v>
      </c>
      <c r="L25" s="162">
        <f>IF($B25=" ","",IFERROR(VLOOKUP($B25,MMWR_ACCURACY_RO[],MATCH(L$9,MMWR_ACCURACY_RO[#Headers],0),0),"ERROR"))</f>
        <v>0.86450871504688398</v>
      </c>
      <c r="M25" s="162">
        <f>IF($B25=" ","",IFERROR(VLOOKUP($B25,MMWR_ACCURACY_RO[],MATCH(M$9,MMWR_ACCURACY_RO[#Headers],0),0),"ERROR"))</f>
        <v>4.898247766391968E-2</v>
      </c>
      <c r="N25" s="162">
        <f>IF($B25=" ","",IFERROR(VLOOKUP($B25,MMWR_ACCURACY_RO[],MATCH(N$9,MMWR_ACCURACY_RO[#Headers],0),0),"ERROR"))</f>
        <v>0.91848003911697462</v>
      </c>
      <c r="O25" s="162">
        <f>IF($B25=" ","",IFERROR(VLOOKUP($B25,MMWR_ACCURACY_RO[],MATCH(O$9,MMWR_ACCURACY_RO[#Headers],0),0),"ERROR"))</f>
        <v>4.3623460147812522E-2</v>
      </c>
      <c r="P25" s="28"/>
    </row>
    <row r="26" spans="1:16" x14ac:dyDescent="0.2">
      <c r="A26" s="25"/>
      <c r="B26" s="8" t="str">
        <f>VLOOKUP($B$16,DISTRICT_RO[],11,0)</f>
        <v>Pittsburgh VSC</v>
      </c>
      <c r="C26" s="157">
        <f>IF($B26=" ","",IFERROR(INDEX(MMWR_RATING_RO_ROLLUP[],MATCH($B26,MMWR_RATING_RO_ROLLUP[MMWR_RATING_RO_ROLLUP],0),MATCH(C$9,MMWR_RATING_RO_ROLLUP[#Headers],0)),"ERROR"))</f>
        <v>4561</v>
      </c>
      <c r="D26" s="158">
        <f>IF($B26=" ","",IFERROR(INDEX(MMWR_RATING_RO_ROLLUP[],MATCH($B26,MMWR_RATING_RO_ROLLUP[MMWR_RATING_RO_ROLLUP],0),MATCH(D$9,MMWR_RATING_RO_ROLLUP[#Headers],0)),"ERROR"))</f>
        <v>143.21398816050001</v>
      </c>
      <c r="E26" s="159">
        <f>IF($B26=" ","",IFERROR(INDEX(MMWR_RATING_RO_ROLLUP[],MATCH($B26,MMWR_RATING_RO_ROLLUP[MMWR_RATING_RO_ROLLUP],0),MATCH(E$9,MMWR_RATING_RO_ROLLUP[#Headers],0))/$C26,"ERROR"))</f>
        <v>0.39355404516553388</v>
      </c>
      <c r="F26" s="157">
        <f>IF($B26=" ","",IFERROR(INDEX(MMWR_RATING_RO_ROLLUP[],MATCH($B26,MMWR_RATING_RO_ROLLUP[MMWR_RATING_RO_ROLLUP],0),MATCH(F$9,MMWR_RATING_RO_ROLLUP[#Headers],0)),"ERROR"))</f>
        <v>714</v>
      </c>
      <c r="G26" s="157">
        <f>IF($B26=" ","",IFERROR(INDEX(MMWR_RATING_RO_ROLLUP[],MATCH($B26,MMWR_RATING_RO_ROLLUP[MMWR_RATING_RO_ROLLUP],0),MATCH(G$9,MMWR_RATING_RO_ROLLUP[#Headers],0)),"ERROR"))</f>
        <v>8658</v>
      </c>
      <c r="H26" s="158">
        <f>IF($B26=" ","",IFERROR(INDEX(MMWR_RATING_RO_ROLLUP[],MATCH($B26,MMWR_RATING_RO_ROLLUP[MMWR_RATING_RO_ROLLUP],0),MATCH(H$9,MMWR_RATING_RO_ROLLUP[#Headers],0)),"ERROR"))</f>
        <v>169.78571428570001</v>
      </c>
      <c r="I26" s="158">
        <f>IF($B26=" ","",IFERROR(INDEX(MMWR_RATING_RO_ROLLUP[],MATCH($B26,MMWR_RATING_RO_ROLLUP[MMWR_RATING_RO_ROLLUP],0),MATCH(I$9,MMWR_RATING_RO_ROLLUP[#Headers],0)),"ERROR"))</f>
        <v>208.20836220839999</v>
      </c>
      <c r="J26" s="162">
        <f>IF($B26=" ","",IFERROR(VLOOKUP($B26,MMWR_ACCURACY_RO[],MATCH(J$9,MMWR_ACCURACY_RO[#Headers],0),0),"ERROR"))</f>
        <v>0.94871407496934057</v>
      </c>
      <c r="K26" s="162">
        <f>IF($B26=" ","",IFERROR(VLOOKUP($B26,MMWR_ACCURACY_RO[],MATCH(K$9,MMWR_ACCURACY_RO[#Headers],0),0),"ERROR"))</f>
        <v>0.84826126053578133</v>
      </c>
      <c r="L26" s="162">
        <f>IF($B26=" ","",IFERROR(VLOOKUP($B26,MMWR_ACCURACY_RO[],MATCH(L$9,MMWR_ACCURACY_RO[#Headers],0),0),"ERROR"))</f>
        <v>0.89220254852439496</v>
      </c>
      <c r="M26" s="162">
        <f>IF($B26=" ","",IFERROR(VLOOKUP($B26,MMWR_ACCURACY_RO[],MATCH(M$9,MMWR_ACCURACY_RO[#Headers],0),0),"ERROR"))</f>
        <v>4.4380652729539206E-2</v>
      </c>
      <c r="N26" s="162">
        <f>IF($B26=" ","",IFERROR(VLOOKUP($B26,MMWR_ACCURACY_RO[],MATCH(N$9,MMWR_ACCURACY_RO[#Headers],0),0),"ERROR"))</f>
        <v>0.90551892337998352</v>
      </c>
      <c r="O26" s="162">
        <f>IF($B26=" ","",IFERROR(VLOOKUP($B26,MMWR_ACCURACY_RO[],MATCH(O$9,MMWR_ACCURACY_RO[#Headers],0),0),"ERROR"))</f>
        <v>5.0594791823523055E-2</v>
      </c>
      <c r="P26" s="28"/>
    </row>
    <row r="27" spans="1:16" x14ac:dyDescent="0.2">
      <c r="A27" s="25"/>
      <c r="B27" s="8" t="str">
        <f>VLOOKUP($B$16,DISTRICT_RO[],12,0)</f>
        <v>Providence VSC</v>
      </c>
      <c r="C27" s="157">
        <f>IF($B27=" ","",IFERROR(INDEX(MMWR_RATING_RO_ROLLUP[],MATCH($B27,MMWR_RATING_RO_ROLLUP[MMWR_RATING_RO_ROLLUP],0),MATCH(C$9,MMWR_RATING_RO_ROLLUP[#Headers],0)),"ERROR"))</f>
        <v>4371</v>
      </c>
      <c r="D27" s="158">
        <f>IF($B27=" ","",IFERROR(INDEX(MMWR_RATING_RO_ROLLUP[],MATCH($B27,MMWR_RATING_RO_ROLLUP[MMWR_RATING_RO_ROLLUP],0),MATCH(D$9,MMWR_RATING_RO_ROLLUP[#Headers],0)),"ERROR"))</f>
        <v>160.42049874169999</v>
      </c>
      <c r="E27" s="159">
        <f>IF($B27=" ","",IFERROR(INDEX(MMWR_RATING_RO_ROLLUP[],MATCH($B27,MMWR_RATING_RO_ROLLUP[MMWR_RATING_RO_ROLLUP],0),MATCH(E$9,MMWR_RATING_RO_ROLLUP[#Headers],0))/$C27,"ERROR"))</f>
        <v>0.55319148936170215</v>
      </c>
      <c r="F27" s="157">
        <f>IF($B27=" ","",IFERROR(INDEX(MMWR_RATING_RO_ROLLUP[],MATCH($B27,MMWR_RATING_RO_ROLLUP[MMWR_RATING_RO_ROLLUP],0),MATCH(F$9,MMWR_RATING_RO_ROLLUP[#Headers],0)),"ERROR"))</f>
        <v>1696</v>
      </c>
      <c r="G27" s="157">
        <f>IF($B27=" ","",IFERROR(INDEX(MMWR_RATING_RO_ROLLUP[],MATCH($B27,MMWR_RATING_RO_ROLLUP[MMWR_RATING_RO_ROLLUP],0),MATCH(G$9,MMWR_RATING_RO_ROLLUP[#Headers],0)),"ERROR"))</f>
        <v>21758</v>
      </c>
      <c r="H27" s="158">
        <f>IF($B27=" ","",IFERROR(INDEX(MMWR_RATING_RO_ROLLUP[],MATCH($B27,MMWR_RATING_RO_ROLLUP[MMWR_RATING_RO_ROLLUP],0),MATCH(H$9,MMWR_RATING_RO_ROLLUP[#Headers],0)),"ERROR"))</f>
        <v>88.998231132100003</v>
      </c>
      <c r="I27" s="158">
        <f>IF($B27=" ","",IFERROR(INDEX(MMWR_RATING_RO_ROLLUP[],MATCH($B27,MMWR_RATING_RO_ROLLUP[MMWR_RATING_RO_ROLLUP],0),MATCH(I$9,MMWR_RATING_RO_ROLLUP[#Headers],0)),"ERROR"))</f>
        <v>84.010386984099995</v>
      </c>
      <c r="J27" s="162">
        <f>IF($B27=" ","",IFERROR(VLOOKUP($B27,MMWR_ACCURACY_RO[],MATCH(J$9,MMWR_ACCURACY_RO[#Headers],0),0),"ERROR"))</f>
        <v>0.95877532475481553</v>
      </c>
      <c r="K27" s="162">
        <f>IF($B27=" ","",IFERROR(VLOOKUP($B27,MMWR_ACCURACY_RO[],MATCH(K$9,MMWR_ACCURACY_RO[#Headers],0),0),"ERROR"))</f>
        <v>0.74662914896060639</v>
      </c>
      <c r="L27" s="162">
        <f>IF($B27=" ","",IFERROR(VLOOKUP($B27,MMWR_ACCURACY_RO[],MATCH(L$9,MMWR_ACCURACY_RO[#Headers],0),0),"ERROR"))</f>
        <v>0.87104958417637723</v>
      </c>
      <c r="M27" s="162">
        <f>IF($B27=" ","",IFERROR(VLOOKUP($B27,MMWR_ACCURACY_RO[],MATCH(M$9,MMWR_ACCURACY_RO[#Headers],0),0),"ERROR"))</f>
        <v>5.4077870587640506E-2</v>
      </c>
      <c r="N27" s="162">
        <f>IF($B27=" ","",IFERROR(VLOOKUP($B27,MMWR_ACCURACY_RO[],MATCH(N$9,MMWR_ACCURACY_RO[#Headers],0),0),"ERROR"))</f>
        <v>0.94176371022342575</v>
      </c>
      <c r="O27" s="162">
        <f>IF($B27=" ","",IFERROR(VLOOKUP($B27,MMWR_ACCURACY_RO[],MATCH(O$9,MMWR_ACCURACY_RO[#Headers],0),0),"ERROR"))</f>
        <v>3.2726725697578306E-2</v>
      </c>
      <c r="P27" s="28"/>
    </row>
    <row r="28" spans="1:16" x14ac:dyDescent="0.2">
      <c r="A28" s="25"/>
      <c r="B28" s="8" t="str">
        <f>VLOOKUP($B$16,DISTRICT_RO[],13,0)</f>
        <v>Roanoke VSC</v>
      </c>
      <c r="C28" s="157">
        <f>IF($B28=" ","",IFERROR(INDEX(MMWR_RATING_RO_ROLLUP[],MATCH($B28,MMWR_RATING_RO_ROLLUP[MMWR_RATING_RO_ROLLUP],0),MATCH(C$9,MMWR_RATING_RO_ROLLUP[#Headers],0)),"ERROR"))</f>
        <v>12594</v>
      </c>
      <c r="D28" s="158">
        <f>IF($B28=" ","",IFERROR(INDEX(MMWR_RATING_RO_ROLLUP[],MATCH($B28,MMWR_RATING_RO_ROLLUP[MMWR_RATING_RO_ROLLUP],0),MATCH(D$9,MMWR_RATING_RO_ROLLUP[#Headers],0)),"ERROR"))</f>
        <v>117.91591233920001</v>
      </c>
      <c r="E28" s="159">
        <f>IF($B28=" ","",IFERROR(INDEX(MMWR_RATING_RO_ROLLUP[],MATCH($B28,MMWR_RATING_RO_ROLLUP[MMWR_RATING_RO_ROLLUP],0),MATCH(E$9,MMWR_RATING_RO_ROLLUP[#Headers],0))/$C28,"ERROR"))</f>
        <v>0.35024614895982215</v>
      </c>
      <c r="F28" s="157">
        <f>IF($B28=" ","",IFERROR(INDEX(MMWR_RATING_RO_ROLLUP[],MATCH($B28,MMWR_RATING_RO_ROLLUP[MMWR_RATING_RO_ROLLUP],0),MATCH(F$9,MMWR_RATING_RO_ROLLUP[#Headers],0)),"ERROR"))</f>
        <v>2295</v>
      </c>
      <c r="G28" s="157">
        <f>IF($B28=" ","",IFERROR(INDEX(MMWR_RATING_RO_ROLLUP[],MATCH($B28,MMWR_RATING_RO_ROLLUP[MMWR_RATING_RO_ROLLUP],0),MATCH(G$9,MMWR_RATING_RO_ROLLUP[#Headers],0)),"ERROR"))</f>
        <v>26757</v>
      </c>
      <c r="H28" s="158">
        <f>IF($B28=" ","",IFERROR(INDEX(MMWR_RATING_RO_ROLLUP[],MATCH($B28,MMWR_RATING_RO_ROLLUP[MMWR_RATING_RO_ROLLUP],0),MATCH(H$9,MMWR_RATING_RO_ROLLUP[#Headers],0)),"ERROR"))</f>
        <v>164.3581699346</v>
      </c>
      <c r="I28" s="158">
        <f>IF($B28=" ","",IFERROR(INDEX(MMWR_RATING_RO_ROLLUP[],MATCH($B28,MMWR_RATING_RO_ROLLUP[MMWR_RATING_RO_ROLLUP],0),MATCH(I$9,MMWR_RATING_RO_ROLLUP[#Headers],0)),"ERROR"))</f>
        <v>205.88212430390001</v>
      </c>
      <c r="J28" s="162">
        <f>IF($B28=" ","",IFERROR(VLOOKUP($B28,MMWR_ACCURACY_RO[],MATCH(J$9,MMWR_ACCURACY_RO[#Headers],0),0),"ERROR"))</f>
        <v>0.96690726900268587</v>
      </c>
      <c r="K28" s="162">
        <f>IF($B28=" ","",IFERROR(VLOOKUP($B28,MMWR_ACCURACY_RO[],MATCH(K$9,MMWR_ACCURACY_RO[#Headers],0),0),"ERROR"))</f>
        <v>0.85710220464893372</v>
      </c>
      <c r="L28" s="162">
        <f>IF($B28=" ","",IFERROR(VLOOKUP($B28,MMWR_ACCURACY_RO[],MATCH(L$9,MMWR_ACCURACY_RO[#Headers],0),0),"ERROR"))</f>
        <v>0.91197422642180992</v>
      </c>
      <c r="M28" s="162">
        <f>IF($B28=" ","",IFERROR(VLOOKUP($B28,MMWR_ACCURACY_RO[],MATCH(M$9,MMWR_ACCURACY_RO[#Headers],0),0),"ERROR"))</f>
        <v>4.4676480650515132E-2</v>
      </c>
      <c r="N28" s="162">
        <f>IF($B28=" ","",IFERROR(VLOOKUP($B28,MMWR_ACCURACY_RO[],MATCH(N$9,MMWR_ACCURACY_RO[#Headers],0),0),"ERROR"))</f>
        <v>0.95360792222993207</v>
      </c>
      <c r="O28" s="162">
        <f>IF($B28=" ","",IFERROR(VLOOKUP($B28,MMWR_ACCURACY_RO[],MATCH(O$9,MMWR_ACCURACY_RO[#Headers],0),0),"ERROR"))</f>
        <v>2.6055898443749826E-2</v>
      </c>
      <c r="P28" s="28"/>
    </row>
    <row r="29" spans="1:16" x14ac:dyDescent="0.2">
      <c r="A29" s="25"/>
      <c r="B29" s="8" t="str">
        <f>VLOOKUP($B$16,DISTRICT_RO[],14,0)</f>
        <v>Togus VSC</v>
      </c>
      <c r="C29" s="157">
        <f>IF($B29=" ","",IFERROR(INDEX(MMWR_RATING_RO_ROLLUP[],MATCH($B29,MMWR_RATING_RO_ROLLUP[MMWR_RATING_RO_ROLLUP],0),MATCH(C$9,MMWR_RATING_RO_ROLLUP[#Headers],0)),"ERROR"))</f>
        <v>5264</v>
      </c>
      <c r="D29" s="158">
        <f>IF($B29=" ","",IFERROR(INDEX(MMWR_RATING_RO_ROLLUP[],MATCH($B29,MMWR_RATING_RO_ROLLUP[MMWR_RATING_RO_ROLLUP],0),MATCH(D$9,MMWR_RATING_RO_ROLLUP[#Headers],0)),"ERROR"))</f>
        <v>155.1434270517</v>
      </c>
      <c r="E29" s="159">
        <f>IF($B29=" ","",IFERROR(INDEX(MMWR_RATING_RO_ROLLUP[],MATCH($B29,MMWR_RATING_RO_ROLLUP[MMWR_RATING_RO_ROLLUP],0),MATCH(E$9,MMWR_RATING_RO_ROLLUP[#Headers],0))/$C29,"ERROR"))</f>
        <v>0.44756838905775076</v>
      </c>
      <c r="F29" s="157">
        <f>IF($B29=" ","",IFERROR(INDEX(MMWR_RATING_RO_ROLLUP[],MATCH($B29,MMWR_RATING_RO_ROLLUP[MMWR_RATING_RO_ROLLUP],0),MATCH(F$9,MMWR_RATING_RO_ROLLUP[#Headers],0)),"ERROR"))</f>
        <v>1183</v>
      </c>
      <c r="G29" s="157">
        <f>IF($B29=" ","",IFERROR(INDEX(MMWR_RATING_RO_ROLLUP[],MATCH($B29,MMWR_RATING_RO_ROLLUP[MMWR_RATING_RO_ROLLUP],0),MATCH(G$9,MMWR_RATING_RO_ROLLUP[#Headers],0)),"ERROR"))</f>
        <v>14239</v>
      </c>
      <c r="H29" s="158">
        <f>IF($B29=" ","",IFERROR(INDEX(MMWR_RATING_RO_ROLLUP[],MATCH($B29,MMWR_RATING_RO_ROLLUP[MMWR_RATING_RO_ROLLUP],0),MATCH(H$9,MMWR_RATING_RO_ROLLUP[#Headers],0)),"ERROR"))</f>
        <v>233.75908706679999</v>
      </c>
      <c r="I29" s="158">
        <f>IF($B29=" ","",IFERROR(INDEX(MMWR_RATING_RO_ROLLUP[],MATCH($B29,MMWR_RATING_RO_ROLLUP[MMWR_RATING_RO_ROLLUP],0),MATCH(I$9,MMWR_RATING_RO_ROLLUP[#Headers],0)),"ERROR"))</f>
        <v>214.1710092001</v>
      </c>
      <c r="J29" s="162">
        <f>IF($B29=" ","",IFERROR(VLOOKUP($B29,MMWR_ACCURACY_RO[],MATCH(J$9,MMWR_ACCURACY_RO[#Headers],0),0),"ERROR"))</f>
        <v>0.97136833894912233</v>
      </c>
      <c r="K29" s="162">
        <f>IF($B29=" ","",IFERROR(VLOOKUP($B29,MMWR_ACCURACY_RO[],MATCH(K$9,MMWR_ACCURACY_RO[#Headers],0),0),"ERROR"))</f>
        <v>0.90754927919976458</v>
      </c>
      <c r="L29" s="162">
        <f>IF($B29=" ","",IFERROR(VLOOKUP($B29,MMWR_ACCURACY_RO[],MATCH(L$9,MMWR_ACCURACY_RO[#Headers],0),0),"ERROR"))</f>
        <v>0.89543861051315943</v>
      </c>
      <c r="M29" s="162">
        <f>IF($B29=" ","",IFERROR(VLOOKUP($B29,MMWR_ACCURACY_RO[],MATCH(M$9,MMWR_ACCURACY_RO[#Headers],0),0),"ERROR"))</f>
        <v>5.0565755933903486E-2</v>
      </c>
      <c r="N29" s="162">
        <f>IF($B29=" ","",IFERROR(VLOOKUP($B29,MMWR_ACCURACY_RO[],MATCH(N$9,MMWR_ACCURACY_RO[#Headers],0),0),"ERROR"))</f>
        <v>0.96208750600990522</v>
      </c>
      <c r="O29" s="162">
        <f>IF($B29=" ","",IFERROR(VLOOKUP($B29,MMWR_ACCURACY_RO[],MATCH(O$9,MMWR_ACCURACY_RO[#Headers],0),0),"ERROR"))</f>
        <v>3.2102920575488907E-2</v>
      </c>
      <c r="P29" s="28"/>
    </row>
    <row r="30" spans="1:16" x14ac:dyDescent="0.2">
      <c r="A30" s="25"/>
      <c r="B30" s="8" t="str">
        <f>VLOOKUP($B$16,DISTRICT_RO[],15,0)</f>
        <v>White River Junction VSC</v>
      </c>
      <c r="C30" s="157">
        <f>IF($B30=" ","",IFERROR(INDEX(MMWR_RATING_RO_ROLLUP[],MATCH($B30,MMWR_RATING_RO_ROLLUP[MMWR_RATING_RO_ROLLUP],0),MATCH(C$9,MMWR_RATING_RO_ROLLUP[#Headers],0)),"ERROR"))</f>
        <v>779</v>
      </c>
      <c r="D30" s="158">
        <f>IF($B30=" ","",IFERROR(INDEX(MMWR_RATING_RO_ROLLUP[],MATCH($B30,MMWR_RATING_RO_ROLLUP[MMWR_RATING_RO_ROLLUP],0),MATCH(D$9,MMWR_RATING_RO_ROLLUP[#Headers],0)),"ERROR"))</f>
        <v>129.9704749679</v>
      </c>
      <c r="E30" s="159">
        <f>IF($B30=" ","",IFERROR(INDEX(MMWR_RATING_RO_ROLLUP[],MATCH($B30,MMWR_RATING_RO_ROLLUP[MMWR_RATING_RO_ROLLUP],0),MATCH(E$9,MMWR_RATING_RO_ROLLUP[#Headers],0))/$C30,"ERROR"))</f>
        <v>0.46983311938382544</v>
      </c>
      <c r="F30" s="157">
        <f>IF($B30=" ","",IFERROR(INDEX(MMWR_RATING_RO_ROLLUP[],MATCH($B30,MMWR_RATING_RO_ROLLUP[MMWR_RATING_RO_ROLLUP],0),MATCH(F$9,MMWR_RATING_RO_ROLLUP[#Headers],0)),"ERROR"))</f>
        <v>135</v>
      </c>
      <c r="G30" s="157">
        <f>IF($B30=" ","",IFERROR(INDEX(MMWR_RATING_RO_ROLLUP[],MATCH($B30,MMWR_RATING_RO_ROLLUP[MMWR_RATING_RO_ROLLUP],0),MATCH(G$9,MMWR_RATING_RO_ROLLUP[#Headers],0)),"ERROR"))</f>
        <v>1694</v>
      </c>
      <c r="H30" s="158">
        <f>IF($B30=" ","",IFERROR(INDEX(MMWR_RATING_RO_ROLLUP[],MATCH($B30,MMWR_RATING_RO_ROLLUP[MMWR_RATING_RO_ROLLUP],0),MATCH(H$9,MMWR_RATING_RO_ROLLUP[#Headers],0)),"ERROR"))</f>
        <v>162.90370370369999</v>
      </c>
      <c r="I30" s="158">
        <f>IF($B30=" ","",IFERROR(INDEX(MMWR_RATING_RO_ROLLUP[],MATCH($B30,MMWR_RATING_RO_ROLLUP[MMWR_RATING_RO_ROLLUP],0),MATCH(I$9,MMWR_RATING_RO_ROLLUP[#Headers],0)),"ERROR"))</f>
        <v>196.10389610390001</v>
      </c>
      <c r="J30" s="162">
        <f>IF($B30=" ","",IFERROR(VLOOKUP($B30,MMWR_ACCURACY_RO[],MATCH(J$9,MMWR_ACCURACY_RO[#Headers],0),0),"ERROR"))</f>
        <v>0.90407738295156836</v>
      </c>
      <c r="K30" s="162">
        <f>IF($B30=" ","",IFERROR(VLOOKUP($B30,MMWR_ACCURACY_RO[],MATCH(K$9,MMWR_ACCURACY_RO[#Headers],0),0),"ERROR"))</f>
        <v>0.78799392097264431</v>
      </c>
      <c r="L30" s="162">
        <f>IF($B30=" ","",IFERROR(VLOOKUP($B30,MMWR_ACCURACY_RO[],MATCH(L$9,MMWR_ACCURACY_RO[#Headers],0),0),"ERROR"))</f>
        <v>0.83558366623763303</v>
      </c>
      <c r="M30" s="162">
        <f>IF($B30=" ","",IFERROR(VLOOKUP($B30,MMWR_ACCURACY_RO[],MATCH(M$9,MMWR_ACCURACY_RO[#Headers],0),0),"ERROR"))</f>
        <v>5.0315883255151878E-2</v>
      </c>
      <c r="N30" s="162">
        <f>IF($B30=" ","",IFERROR(VLOOKUP($B30,MMWR_ACCURACY_RO[],MATCH(N$9,MMWR_ACCURACY_RO[#Headers],0),0),"ERROR"))</f>
        <v>0.86957951296460589</v>
      </c>
      <c r="O30" s="162">
        <f>IF($B30=" ","",IFERROR(VLOOKUP($B30,MMWR_ACCURACY_RO[],MATCH(O$9,MMWR_ACCURACY_RO[#Headers],0),0),"ERROR"))</f>
        <v>3.6472295560088103E-2</v>
      </c>
      <c r="P30" s="28"/>
    </row>
    <row r="31" spans="1:16" x14ac:dyDescent="0.2">
      <c r="A31" s="25"/>
      <c r="B31" s="8" t="str">
        <f>VLOOKUP($B$16,DISTRICT_RO[],16,0)</f>
        <v>Wilmington VSC</v>
      </c>
      <c r="C31" s="157">
        <f>IF($B31=" ","",IFERROR(INDEX(MMWR_RATING_RO_ROLLUP[],MATCH($B31,MMWR_RATING_RO_ROLLUP[MMWR_RATING_RO_ROLLUP],0),MATCH(C$9,MMWR_RATING_RO_ROLLUP[#Headers],0)),"ERROR"))</f>
        <v>724</v>
      </c>
      <c r="D31" s="158">
        <f>IF($B31=" ","",IFERROR(INDEX(MMWR_RATING_RO_ROLLUP[],MATCH($B31,MMWR_RATING_RO_ROLLUP[MMWR_RATING_RO_ROLLUP],0),MATCH(D$9,MMWR_RATING_RO_ROLLUP[#Headers],0)),"ERROR"))</f>
        <v>128.93093922649999</v>
      </c>
      <c r="E31" s="159">
        <f>IF($B31=" ","",IFERROR(INDEX(MMWR_RATING_RO_ROLLUP[],MATCH($B31,MMWR_RATING_RO_ROLLUP[MMWR_RATING_RO_ROLLUP],0),MATCH(E$9,MMWR_RATING_RO_ROLLUP[#Headers],0))/$C31,"ERROR"))</f>
        <v>0.29281767955801102</v>
      </c>
      <c r="F31" s="157">
        <f>IF($B31=" ","",IFERROR(INDEX(MMWR_RATING_RO_ROLLUP[],MATCH($B31,MMWR_RATING_RO_ROLLUP[MMWR_RATING_RO_ROLLUP],0),MATCH(F$9,MMWR_RATING_RO_ROLLUP[#Headers],0)),"ERROR"))</f>
        <v>97</v>
      </c>
      <c r="G31" s="157">
        <f>IF($B31=" ","",IFERROR(INDEX(MMWR_RATING_RO_ROLLUP[],MATCH($B31,MMWR_RATING_RO_ROLLUP[MMWR_RATING_RO_ROLLUP],0),MATCH(G$9,MMWR_RATING_RO_ROLLUP[#Headers],0)),"ERROR"))</f>
        <v>1617</v>
      </c>
      <c r="H31" s="158">
        <f>IF($B31=" ","",IFERROR(INDEX(MMWR_RATING_RO_ROLLUP[],MATCH($B31,MMWR_RATING_RO_ROLLUP[MMWR_RATING_RO_ROLLUP],0),MATCH(H$9,MMWR_RATING_RO_ROLLUP[#Headers],0)),"ERROR"))</f>
        <v>259.06185567009999</v>
      </c>
      <c r="I31" s="158">
        <f>IF($B31=" ","",IFERROR(INDEX(MMWR_RATING_RO_ROLLUP[],MATCH($B31,MMWR_RATING_RO_ROLLUP[MMWR_RATING_RO_ROLLUP],0),MATCH(I$9,MMWR_RATING_RO_ROLLUP[#Headers],0)),"ERROR"))</f>
        <v>229.2158317873</v>
      </c>
      <c r="J31" s="162">
        <f>IF($B31=" ","",IFERROR(VLOOKUP($B31,MMWR_ACCURACY_RO[],MATCH(J$9,MMWR_ACCURACY_RO[#Headers],0),0),"ERROR"))</f>
        <v>0.94191628545479666</v>
      </c>
      <c r="K31" s="162">
        <f>IF($B31=" ","",IFERROR(VLOOKUP($B31,MMWR_ACCURACY_RO[],MATCH(K$9,MMWR_ACCURACY_RO[#Headers],0),0),"ERROR"))</f>
        <v>0.87576237391508338</v>
      </c>
      <c r="L31" s="162">
        <f>IF($B31=" ","",IFERROR(VLOOKUP($B31,MMWR_ACCURACY_RO[],MATCH(L$9,MMWR_ACCURACY_RO[#Headers],0),0),"ERROR"))</f>
        <v>0.87278812135354511</v>
      </c>
      <c r="M31" s="162">
        <f>IF($B31=" ","",IFERROR(VLOOKUP($B31,MMWR_ACCURACY_RO[],MATCH(M$9,MMWR_ACCURACY_RO[#Headers],0),0),"ERROR"))</f>
        <v>4.1148542696516376E-2</v>
      </c>
      <c r="N31" s="162">
        <f>IF($B31=" ","",IFERROR(VLOOKUP($B31,MMWR_ACCURACY_RO[],MATCH(N$9,MMWR_ACCURACY_RO[#Headers],0),0),"ERROR"))</f>
        <v>0.89020310815742787</v>
      </c>
      <c r="O31" s="162">
        <f>IF($B31=" ","",IFERROR(VLOOKUP($B31,MMWR_ACCURACY_RO[],MATCH(O$9,MMWR_ACCURACY_RO[#Headers],0),0),"ERROR"))</f>
        <v>4.6809227432633167E-2</v>
      </c>
      <c r="P31" s="28"/>
    </row>
    <row r="32" spans="1:16" x14ac:dyDescent="0.2">
      <c r="A32" s="25"/>
      <c r="B32" s="8" t="str">
        <f>VLOOKUP($B$16,DISTRICT_RO[],17,0)</f>
        <v>Winston-Salem VSC</v>
      </c>
      <c r="C32" s="157">
        <f>IF($B32=" ","",IFERROR(INDEX(MMWR_RATING_RO_ROLLUP[],MATCH($B32,MMWR_RATING_RO_ROLLUP[MMWR_RATING_RO_ROLLUP],0),MATCH(C$9,MMWR_RATING_RO_ROLLUP[#Headers],0)),"ERROR"))</f>
        <v>14606</v>
      </c>
      <c r="D32" s="158">
        <f>IF($B32=" ","",IFERROR(INDEX(MMWR_RATING_RO_ROLLUP[],MATCH($B32,MMWR_RATING_RO_ROLLUP[MMWR_RATING_RO_ROLLUP],0),MATCH(D$9,MMWR_RATING_RO_ROLLUP[#Headers],0)),"ERROR"))</f>
        <v>110.92907024509999</v>
      </c>
      <c r="E32" s="159">
        <f>IF($B32=" ","",IFERROR(INDEX(MMWR_RATING_RO_ROLLUP[],MATCH($B32,MMWR_RATING_RO_ROLLUP[MMWR_RATING_RO_ROLLUP],0),MATCH(E$9,MMWR_RATING_RO_ROLLUP[#Headers],0))/$C32,"ERROR"))</f>
        <v>0.29659044228399289</v>
      </c>
      <c r="F32" s="157">
        <f>IF($B32=" ","",IFERROR(INDEX(MMWR_RATING_RO_ROLLUP[],MATCH($B32,MMWR_RATING_RO_ROLLUP[MMWR_RATING_RO_ROLLUP],0),MATCH(F$9,MMWR_RATING_RO_ROLLUP[#Headers],0)),"ERROR"))</f>
        <v>2431</v>
      </c>
      <c r="G32" s="157">
        <f>IF($B32=" ","",IFERROR(INDEX(MMWR_RATING_RO_ROLLUP[],MATCH($B32,MMWR_RATING_RO_ROLLUP[MMWR_RATING_RO_ROLLUP],0),MATCH(G$9,MMWR_RATING_RO_ROLLUP[#Headers],0)),"ERROR"))</f>
        <v>29891</v>
      </c>
      <c r="H32" s="158">
        <f>IF($B32=" ","",IFERROR(INDEX(MMWR_RATING_RO_ROLLUP[],MATCH($B32,MMWR_RATING_RO_ROLLUP[MMWR_RATING_RO_ROLLUP],0),MATCH(H$9,MMWR_RATING_RO_ROLLUP[#Headers],0)),"ERROR"))</f>
        <v>180.80625257099999</v>
      </c>
      <c r="I32" s="158">
        <f>IF($B32=" ","",IFERROR(INDEX(MMWR_RATING_RO_ROLLUP[],MATCH($B32,MMWR_RATING_RO_ROLLUP[MMWR_RATING_RO_ROLLUP],0),MATCH(I$9,MMWR_RATING_RO_ROLLUP[#Headers],0)),"ERROR"))</f>
        <v>220.0564383928</v>
      </c>
      <c r="J32" s="162">
        <f>IF($B32=" ","",IFERROR(VLOOKUP($B32,MMWR_ACCURACY_RO[],MATCH(J$9,MMWR_ACCURACY_RO[#Headers],0),0),"ERROR"))</f>
        <v>0.95892118819625649</v>
      </c>
      <c r="K32" s="162">
        <f>IF($B32=" ","",IFERROR(VLOOKUP($B32,MMWR_ACCURACY_RO[],MATCH(K$9,MMWR_ACCURACY_RO[#Headers],0),0),"ERROR"))</f>
        <v>0.79939185656733402</v>
      </c>
      <c r="L32" s="162">
        <f>IF($B32=" ","",IFERROR(VLOOKUP($B32,MMWR_ACCURACY_RO[],MATCH(L$9,MMWR_ACCURACY_RO[#Headers],0),0),"ERROR"))</f>
        <v>0.83629756840852632</v>
      </c>
      <c r="M32" s="162">
        <f>IF($B32=" ","",IFERROR(VLOOKUP($B32,MMWR_ACCURACY_RO[],MATCH(M$9,MMWR_ACCURACY_RO[#Headers],0),0),"ERROR"))</f>
        <v>5.0583679595135961E-2</v>
      </c>
      <c r="N32" s="162">
        <f>IF($B32=" ","",IFERROR(VLOOKUP($B32,MMWR_ACCURACY_RO[],MATCH(N$9,MMWR_ACCURACY_RO[#Headers],0),0),"ERROR"))</f>
        <v>0.93371976313245308</v>
      </c>
      <c r="O32" s="162">
        <f>IF($B32=" ","",IFERROR(VLOOKUP($B32,MMWR_ACCURACY_RO[],MATCH(O$9,MMWR_ACCURACY_RO[#Headers],0),0),"ERROR"))</f>
        <v>3.0014731871330795E-2</v>
      </c>
      <c r="P32" s="28"/>
    </row>
    <row r="33" spans="1:16" x14ac:dyDescent="0.2">
      <c r="A33" s="25"/>
      <c r="B33" s="367" t="s">
        <v>750</v>
      </c>
      <c r="C33" s="368"/>
      <c r="D33" s="368"/>
      <c r="E33" s="368"/>
      <c r="F33" s="368"/>
      <c r="G33" s="368"/>
      <c r="H33" s="368"/>
      <c r="I33" s="368"/>
      <c r="J33" s="368"/>
      <c r="K33" s="368"/>
      <c r="L33" s="368"/>
      <c r="M33" s="368"/>
      <c r="N33" s="368"/>
      <c r="O33" s="368"/>
      <c r="P33" s="28"/>
    </row>
    <row r="34" spans="1:16" x14ac:dyDescent="0.2">
      <c r="A34" s="25"/>
      <c r="B34" s="11" t="s">
        <v>713</v>
      </c>
      <c r="C34" s="157">
        <f>IF($B34=" ","",IFERROR(INDEX(MMWR_RATING_RO_ROLLUP[],MATCH($B34,MMWR_RATING_RO_ROLLUP[MMWR_RATING_RO_ROLLUP],0),MATCH(C$9,MMWR_RATING_RO_ROLLUP[#Headers],0)),"ERROR"))</f>
        <v>18985</v>
      </c>
      <c r="D34" s="158">
        <f>IF($B34=" ","",IFERROR(INDEX(MMWR_RATING_RO_ROLLUP[],MATCH($B34,MMWR_RATING_RO_ROLLUP[MMWR_RATING_RO_ROLLUP],0),MATCH(D$9,MMWR_RATING_RO_ROLLUP[#Headers],0)),"ERROR"))</f>
        <v>61.410639978900001</v>
      </c>
      <c r="E34" s="159">
        <f>IF($B34=" ","",IFERROR(INDEX(MMWR_RATING_RO_ROLLUP[],MATCH($B34,MMWR_RATING_RO_ROLLUP[MMWR_RATING_RO_ROLLUP],0),MATCH(E$9,MMWR_RATING_RO_ROLLUP[#Headers],0))/$C34,"ERROR"))</f>
        <v>9.6181195680800635E-2</v>
      </c>
      <c r="F34" s="157">
        <f>IF($B34=" ","",IFERROR(INDEX(MMWR_RATING_RO_ROLLUP[],MATCH($B34,MMWR_RATING_RO_ROLLUP[MMWR_RATING_RO_ROLLUP],0),MATCH(F$9,MMWR_RATING_RO_ROLLUP[#Headers],0)),"ERROR"))</f>
        <v>8383</v>
      </c>
      <c r="G34" s="157">
        <f>IF($B34=" ","",IFERROR(INDEX(MMWR_RATING_RO_ROLLUP[],MATCH($B34,MMWR_RATING_RO_ROLLUP[MMWR_RATING_RO_ROLLUP],0),MATCH(G$9,MMWR_RATING_RO_ROLLUP[#Headers],0)),"ERROR"))</f>
        <v>110883</v>
      </c>
      <c r="H34" s="158">
        <f>IF($B34=" ","",IFERROR(INDEX(MMWR_RATING_RO_ROLLUP[],MATCH($B34,MMWR_RATING_RO_ROLLUP[MMWR_RATING_RO_ROLLUP],0),MATCH(H$9,MMWR_RATING_RO_ROLLUP[#Headers],0)),"ERROR"))</f>
        <v>62.185852320199999</v>
      </c>
      <c r="I34" s="158">
        <f>IF($B34=" ","",IFERROR(INDEX(MMWR_RATING_RO_ROLLUP[],MATCH($B34,MMWR_RATING_RO_ROLLUP[MMWR_RATING_RO_ROLLUP],0),MATCH(I$9,MMWR_RATING_RO_ROLLUP[#Headers],0)),"ERROR"))</f>
        <v>64.505794395899997</v>
      </c>
      <c r="J34" s="42"/>
      <c r="K34" s="43"/>
      <c r="L34" s="43"/>
      <c r="M34" s="43"/>
      <c r="N34" s="43"/>
      <c r="O34" s="43"/>
      <c r="P34" s="28"/>
    </row>
    <row r="35" spans="1:16" x14ac:dyDescent="0.2">
      <c r="A35" s="25"/>
      <c r="B35" s="12" t="s">
        <v>218</v>
      </c>
      <c r="C35" s="157">
        <f>IF($B35=" ","",IFERROR(INDEX(MMWR_RATING_RO_ROLLUP[],MATCH($B35,MMWR_RATING_RO_ROLLUP[MMWR_RATING_RO_ROLLUP],0),MATCH(C$9,MMWR_RATING_RO_ROLLUP[#Headers],0)),"ERROR"))</f>
        <v>6135</v>
      </c>
      <c r="D35" s="158">
        <f>IF($B35=" ","",IFERROR(INDEX(MMWR_RATING_RO_ROLLUP[],MATCH($B35,MMWR_RATING_RO_ROLLUP[MMWR_RATING_RO_ROLLUP],0),MATCH(D$9,MMWR_RATING_RO_ROLLUP[#Headers],0)),"ERROR"))</f>
        <v>66.459657701699996</v>
      </c>
      <c r="E35" s="159">
        <f>IF($B35=" ","",IFERROR(INDEX(MMWR_RATING_RO_ROLLUP[],MATCH($B35,MMWR_RATING_RO_ROLLUP[MMWR_RATING_RO_ROLLUP],0),MATCH(E$9,MMWR_RATING_RO_ROLLUP[#Headers],0))/$C35,"ERROR"))</f>
        <v>0.11654441727791361</v>
      </c>
      <c r="F35" s="157">
        <f>IF($B35=" ","",IFERROR(INDEX(MMWR_RATING_RO_ROLLUP[],MATCH($B35,MMWR_RATING_RO_ROLLUP[MMWR_RATING_RO_ROLLUP],0),MATCH(F$9,MMWR_RATING_RO_ROLLUP[#Headers],0)),"ERROR"))</f>
        <v>2788</v>
      </c>
      <c r="G35" s="157">
        <f>IF($B35=" ","",IFERROR(INDEX(MMWR_RATING_RO_ROLLUP[],MATCH($B35,MMWR_RATING_RO_ROLLUP[MMWR_RATING_RO_ROLLUP],0),MATCH(G$9,MMWR_RATING_RO_ROLLUP[#Headers],0)),"ERROR"))</f>
        <v>35087</v>
      </c>
      <c r="H35" s="158">
        <f>IF($B35=" ","",IFERROR(INDEX(MMWR_RATING_RO_ROLLUP[],MATCH($B35,MMWR_RATING_RO_ROLLUP[MMWR_RATING_RO_ROLLUP],0),MATCH(H$9,MMWR_RATING_RO_ROLLUP[#Headers],0)),"ERROR"))</f>
        <v>65.555236728799997</v>
      </c>
      <c r="I35" s="158">
        <f>IF($B35=" ","",IFERROR(INDEX(MMWR_RATING_RO_ROLLUP[],MATCH($B35,MMWR_RATING_RO_ROLLUP[MMWR_RATING_RO_ROLLUP],0),MATCH(I$9,MMWR_RATING_RO_ROLLUP[#Headers],0)),"ERROR"))</f>
        <v>72.843104283599999</v>
      </c>
      <c r="J35" s="42"/>
      <c r="K35" s="256">
        <f>IF($B35=" ","",IFERROR(VLOOKUP($B35,MMWR_ACCURACY_RO[],MATCH(K$49,MMWR_ACCURACY_RO[#Headers],0),0),"ERROR"))</f>
        <v>0.96956848030018761</v>
      </c>
      <c r="L35" s="256">
        <f>IF($B35=" ","",IFERROR(VLOOKUP($B35,MMWR_ACCURACY_RO[],MATCH(L$49,MMWR_ACCURACY_RO[#Headers],0),0),"ERROR"))</f>
        <v>0.97429808300267595</v>
      </c>
      <c r="M35" s="256">
        <f>IF($B35=" ","",IFERROR(VLOOKUP($B35,MMWR_ACCURACY_RO[],MATCH(M$49,MMWR_ACCURACY_RO[#Headers],0),0),"ERROR"))</f>
        <v>2.6383439443076213E-2</v>
      </c>
      <c r="N35" s="256">
        <f>IF($B35=" ","",IFERROR(VLOOKUP($B35,MMWR_ACCURACY_RO[],MATCH(N$49,MMWR_ACCURACY_RO[#Headers],0),0),"ERROR"))</f>
        <v>0.95524786762096037</v>
      </c>
      <c r="O35" s="256">
        <f>IF($B35=" ","",IFERROR(VLOOKUP($B35,MMWR_ACCURACY_RO[],MATCH(O$49,MMWR_ACCURACY_RO[#Headers],0),0),"ERROR"))</f>
        <v>3.8407991962022478E-2</v>
      </c>
      <c r="P35" s="28"/>
    </row>
    <row r="36" spans="1:16" x14ac:dyDescent="0.2">
      <c r="A36" s="44"/>
      <c r="B36" s="12" t="s">
        <v>217</v>
      </c>
      <c r="C36" s="157">
        <f>IF($B36=" ","",IFERROR(INDEX(MMWR_RATING_RO_ROLLUP[],MATCH($B36,MMWR_RATING_RO_ROLLUP[MMWR_RATING_RO_ROLLUP],0),MATCH(C$9,MMWR_RATING_RO_ROLLUP[#Headers],0)),"ERROR"))</f>
        <v>4623</v>
      </c>
      <c r="D36" s="158">
        <f>IF($B36=" ","",IFERROR(INDEX(MMWR_RATING_RO_ROLLUP[],MATCH($B36,MMWR_RATING_RO_ROLLUP[MMWR_RATING_RO_ROLLUP],0),MATCH(D$9,MMWR_RATING_RO_ROLLUP[#Headers],0)),"ERROR"))</f>
        <v>54.891196192899997</v>
      </c>
      <c r="E36" s="159">
        <f>IF($B36=" ","",IFERROR(INDEX(MMWR_RATING_RO_ROLLUP[],MATCH($B36,MMWR_RATING_RO_ROLLUP[MMWR_RATING_RO_ROLLUP],0),MATCH(E$9,MMWR_RATING_RO_ROLLUP[#Headers],0))/$C36,"ERROR"))</f>
        <v>8.3062946138870858E-2</v>
      </c>
      <c r="F36" s="157">
        <f>IF($B36=" ","",IFERROR(INDEX(MMWR_RATING_RO_ROLLUP[],MATCH($B36,MMWR_RATING_RO_ROLLUP[MMWR_RATING_RO_ROLLUP],0),MATCH(F$9,MMWR_RATING_RO_ROLLUP[#Headers],0)),"ERROR"))</f>
        <v>2309</v>
      </c>
      <c r="G36" s="157">
        <f>IF($B36=" ","",IFERROR(INDEX(MMWR_RATING_RO_ROLLUP[],MATCH($B36,MMWR_RATING_RO_ROLLUP[MMWR_RATING_RO_ROLLUP],0),MATCH(G$9,MMWR_RATING_RO_ROLLUP[#Headers],0)),"ERROR"))</f>
        <v>31299</v>
      </c>
      <c r="H36" s="158">
        <f>IF($B36=" ","",IFERROR(INDEX(MMWR_RATING_RO_ROLLUP[],MATCH($B36,MMWR_RATING_RO_ROLLUP[MMWR_RATING_RO_ROLLUP],0),MATCH(H$9,MMWR_RATING_RO_ROLLUP[#Headers],0)),"ERROR"))</f>
        <v>51.6526634907</v>
      </c>
      <c r="I36" s="158">
        <f>IF($B36=" ","",IFERROR(INDEX(MMWR_RATING_RO_ROLLUP[],MATCH($B36,MMWR_RATING_RO_ROLLUP[MMWR_RATING_RO_ROLLUP],0),MATCH(I$9,MMWR_RATING_RO_ROLLUP[#Headers],0)),"ERROR"))</f>
        <v>55.543340042799997</v>
      </c>
      <c r="J36" s="42"/>
      <c r="K36" s="256">
        <f>IF($B36=" ","",IFERROR(VLOOKUP($B36,MMWR_ACCURACY_RO[],MATCH(K$49,MMWR_ACCURACY_RO[#Headers],0),0),"ERROR"))</f>
        <v>0.92004174357860691</v>
      </c>
      <c r="L36" s="256">
        <f>IF($B36=" ","",IFERROR(VLOOKUP($B36,MMWR_ACCURACY_RO[],MATCH(L$49,MMWR_ACCURACY_RO[#Headers],0),0),"ERROR"))</f>
        <v>0.96470723620678556</v>
      </c>
      <c r="M36" s="256">
        <f>IF($B36=" ","",IFERROR(VLOOKUP($B36,MMWR_ACCURACY_RO[],MATCH(M$49,MMWR_ACCURACY_RO[#Headers],0),0),"ERROR"))</f>
        <v>2.6375501105053302E-2</v>
      </c>
      <c r="N36" s="256">
        <f>IF($B36=" ","",IFERROR(VLOOKUP($B36,MMWR_ACCURACY_RO[],MATCH(N$49,MMWR_ACCURACY_RO[#Headers],0),0),"ERROR"))</f>
        <v>0.99654953665206458</v>
      </c>
      <c r="O36" s="256">
        <f>IF($B36=" ","",IFERROR(VLOOKUP($B36,MMWR_ACCURACY_RO[],MATCH(O$49,MMWR_ACCURACY_RO[#Headers],0),0),"ERROR"))</f>
        <v>5.1258035087415974E-3</v>
      </c>
      <c r="P36" s="28"/>
    </row>
    <row r="37" spans="1:16" x14ac:dyDescent="0.2">
      <c r="A37" s="25"/>
      <c r="B37" s="12" t="s">
        <v>220</v>
      </c>
      <c r="C37" s="157">
        <f>IF($B37=" ","",IFERROR(INDEX(MMWR_RATING_RO_ROLLUP[],MATCH($B37,MMWR_RATING_RO_ROLLUP[MMWR_RATING_RO_ROLLUP],0),MATCH(C$9,MMWR_RATING_RO_ROLLUP[#Headers],0)),"ERROR"))</f>
        <v>7704</v>
      </c>
      <c r="D37" s="158">
        <f>IF($B37=" ","",IFERROR(INDEX(MMWR_RATING_RO_ROLLUP[],MATCH($B37,MMWR_RATING_RO_ROLLUP[MMWR_RATING_RO_ROLLUP],0),MATCH(D$9,MMWR_RATING_RO_ROLLUP[#Headers],0)),"ERROR"))</f>
        <v>54.522326064399998</v>
      </c>
      <c r="E37" s="159">
        <f>IF($B37=" ","",IFERROR(INDEX(MMWR_RATING_RO_ROLLUP[],MATCH($B37,MMWR_RATING_RO_ROLLUP[MMWR_RATING_RO_ROLLUP],0),MATCH(E$9,MMWR_RATING_RO_ROLLUP[#Headers],0))/$C37,"ERROR"))</f>
        <v>6.4122533748701971E-2</v>
      </c>
      <c r="F37" s="157">
        <f>IF($B37=" ","",IFERROR(INDEX(MMWR_RATING_RO_ROLLUP[],MATCH($B37,MMWR_RATING_RO_ROLLUP[MMWR_RATING_RO_ROLLUP],0),MATCH(F$9,MMWR_RATING_RO_ROLLUP[#Headers],0)),"ERROR"))</f>
        <v>3061</v>
      </c>
      <c r="G37" s="157">
        <f>IF($B37=" ","",IFERROR(INDEX(MMWR_RATING_RO_ROLLUP[],MATCH($B37,MMWR_RATING_RO_ROLLUP[MMWR_RATING_RO_ROLLUP],0),MATCH(G$9,MMWR_RATING_RO_ROLLUP[#Headers],0)),"ERROR"))</f>
        <v>40551</v>
      </c>
      <c r="H37" s="158">
        <f>IF($B37=" ","",IFERROR(INDEX(MMWR_RATING_RO_ROLLUP[],MATCH($B37,MMWR_RATING_RO_ROLLUP[MMWR_RATING_RO_ROLLUP],0),MATCH(H$9,MMWR_RATING_RO_ROLLUP[#Headers],0)),"ERROR"))</f>
        <v>66.943155831400006</v>
      </c>
      <c r="I37" s="158">
        <f>IF($B37=" ","",IFERROR(INDEX(MMWR_RATING_RO_ROLLUP[],MATCH($B37,MMWR_RATING_RO_ROLLUP[MMWR_RATING_RO_ROLLUP],0),MATCH(I$9,MMWR_RATING_RO_ROLLUP[#Headers],0)),"ERROR"))</f>
        <v>64.692436684699999</v>
      </c>
      <c r="J37" s="42"/>
      <c r="K37" s="256">
        <f>IF($B37=" ","",IFERROR(VLOOKUP($B37,MMWR_ACCURACY_RO[],MATCH(K$49,MMWR_ACCURACY_RO[#Headers],0),0),"ERROR"))</f>
        <v>1</v>
      </c>
      <c r="L37" s="256">
        <f>IF($B37=" ","",IFERROR(VLOOKUP($B37,MMWR_ACCURACY_RO[],MATCH(L$49,MMWR_ACCURACY_RO[#Headers],0),0),"ERROR"))</f>
        <v>0.99185396206751464</v>
      </c>
      <c r="M37" s="256">
        <f>IF($B37=" ","",IFERROR(VLOOKUP($B37,MMWR_ACCURACY_RO[],MATCH(M$49,MMWR_ACCURACY_RO[#Headers],0),0),"ERROR"))</f>
        <v>9.7579621915807029E-3</v>
      </c>
      <c r="N37" s="256">
        <f>IF($B37=" ","",IFERROR(VLOOKUP($B37,MMWR_ACCURACY_RO[],MATCH(N$49,MMWR_ACCURACY_RO[#Headers],0),0),"ERROR"))</f>
        <v>0.98049425229308584</v>
      </c>
      <c r="O37" s="256">
        <f>IF($B37=" ","",IFERROR(VLOOKUP($B37,MMWR_ACCURACY_RO[],MATCH(O$49,MMWR_ACCURACY_RO[#Headers],0),0),"ERROR"))</f>
        <v>2.3698938642957044E-2</v>
      </c>
      <c r="P37" s="28"/>
    </row>
    <row r="38" spans="1:16" x14ac:dyDescent="0.2">
      <c r="A38" s="25"/>
      <c r="B38" s="13" t="s">
        <v>232</v>
      </c>
      <c r="C38" s="157">
        <f>IF($B38=" ","",IFERROR(INDEX(MMWR_RATING_RO_ROLLUP[],MATCH($B38,MMWR_RATING_RO_ROLLUP[MMWR_RATING_RO_ROLLUP],0),MATCH(C$9,MMWR_RATING_RO_ROLLUP[#Headers],0)),"ERROR"))</f>
        <v>523</v>
      </c>
      <c r="D38" s="158">
        <f>IF($B38=" ","",IFERROR(INDEX(MMWR_RATING_RO_ROLLUP[],MATCH($B38,MMWR_RATING_RO_ROLLUP[MMWR_RATING_RO_ROLLUP],0),MATCH(D$9,MMWR_RATING_RO_ROLLUP[#Headers],0)),"ERROR"))</f>
        <v>161.27915869980001</v>
      </c>
      <c r="E38" s="159">
        <f>IF($B38=" ","",IFERROR(INDEX(MMWR_RATING_RO_ROLLUP[],MATCH($B38,MMWR_RATING_RO_ROLLUP[MMWR_RATING_RO_ROLLUP],0),MATCH(E$9,MMWR_RATING_RO_ROLLUP[#Headers],0))/$C38,"ERROR"))</f>
        <v>0.44550669216061184</v>
      </c>
      <c r="F38" s="157">
        <f>IF($B38=" ","",IFERROR(INDEX(MMWR_RATING_RO_ROLLUP[],MATCH($B38,MMWR_RATING_RO_ROLLUP[MMWR_RATING_RO_ROLLUP],0),MATCH(F$9,MMWR_RATING_RO_ROLLUP[#Headers],0)),"ERROR"))</f>
        <v>225</v>
      </c>
      <c r="G38" s="157">
        <f>IF($B38=" ","",IFERROR(INDEX(MMWR_RATING_RO_ROLLUP[],MATCH($B38,MMWR_RATING_RO_ROLLUP[MMWR_RATING_RO_ROLLUP],0),MATCH(G$9,MMWR_RATING_RO_ROLLUP[#Headers],0)),"ERROR"))</f>
        <v>3946</v>
      </c>
      <c r="H38" s="158">
        <f>IF($B38=" ","",IFERROR(INDEX(MMWR_RATING_RO_ROLLUP[],MATCH($B38,MMWR_RATING_RO_ROLLUP[MMWR_RATING_RO_ROLLUP],0),MATCH(H$9,MMWR_RATING_RO_ROLLUP[#Headers],0)),"ERROR"))</f>
        <v>63.8088888889</v>
      </c>
      <c r="I38" s="158">
        <f>IF($B38=" ","",IFERROR(INDEX(MMWR_RATING_RO_ROLLUP[],MATCH($B38,MMWR_RATING_RO_ROLLUP[MMWR_RATING_RO_ROLLUP],0),MATCH(I$9,MMWR_RATING_RO_ROLLUP[#Headers],0)),"ERROR"))</f>
        <v>59.542828180400001</v>
      </c>
      <c r="J38" s="42"/>
      <c r="K38" s="42"/>
      <c r="L38" s="42"/>
      <c r="M38" s="42"/>
      <c r="N38" s="42"/>
      <c r="O38" s="42"/>
      <c r="P38" s="28"/>
    </row>
    <row r="39" spans="1:16" x14ac:dyDescent="0.2">
      <c r="A39" s="25"/>
      <c r="B39" s="367" t="s">
        <v>933</v>
      </c>
      <c r="C39" s="368"/>
      <c r="D39" s="368"/>
      <c r="E39" s="368"/>
      <c r="F39" s="368"/>
      <c r="G39" s="368"/>
      <c r="H39" s="368"/>
      <c r="I39" s="368"/>
      <c r="J39" s="368"/>
      <c r="K39" s="368"/>
      <c r="L39" s="368"/>
      <c r="M39" s="368"/>
      <c r="N39" s="368"/>
      <c r="O39" s="368"/>
      <c r="P39" s="28"/>
    </row>
    <row r="40" spans="1:16" x14ac:dyDescent="0.2">
      <c r="A40" s="25"/>
      <c r="B40" s="45" t="s">
        <v>714</v>
      </c>
      <c r="C40" s="157">
        <f>IF($B40=" ","",IFERROR(INDEX(MMWR_RATING_RO_ROLLUP[],MATCH($B40,MMWR_RATING_RO_ROLLUP[MMWR_RATING_RO_ROLLUP],0),MATCH(C$9,MMWR_RATING_RO_ROLLUP[#Headers],0)),"ERROR"))</f>
        <v>7865</v>
      </c>
      <c r="D40" s="158">
        <f>IF($B40=" ","",IFERROR(INDEX(MMWR_RATING_RO_ROLLUP[],MATCH($B40,MMWR_RATING_RO_ROLLUP[MMWR_RATING_RO_ROLLUP],0),MATCH(D$9,MMWR_RATING_RO_ROLLUP[#Headers],0)),"ERROR"))</f>
        <v>76.171265098500001</v>
      </c>
      <c r="E40" s="159">
        <f>IF($B40=" ","",IFERROR(INDEX(MMWR_RATING_RO_ROLLUP[],MATCH($B40,MMWR_RATING_RO_ROLLUP[MMWR_RATING_RO_ROLLUP],0),MATCH(E$9,MMWR_RATING_RO_ROLLUP[#Headers],0))/$C40,"ERROR"))</f>
        <v>0.18169103623649077</v>
      </c>
      <c r="F40" s="157">
        <f>IF($B40=" ","",IFERROR(INDEX(MMWR_RATING_RO_ROLLUP[],MATCH($B40,MMWR_RATING_RO_ROLLUP[MMWR_RATING_RO_ROLLUP],0),MATCH(F$9,MMWR_RATING_RO_ROLLUP[#Headers],0)),"ERROR"))</f>
        <v>1391</v>
      </c>
      <c r="G40" s="157">
        <f>IF($B40=" ","",IFERROR(INDEX(MMWR_RATING_RO_ROLLUP[],MATCH($B40,MMWR_RATING_RO_ROLLUP[MMWR_RATING_RO_ROLLUP],0),MATCH(G$9,MMWR_RATING_RO_ROLLUP[#Headers],0)),"ERROR"))</f>
        <v>18820</v>
      </c>
      <c r="H40" s="158">
        <f>IF($B40=" ","",IFERROR(INDEX(MMWR_RATING_RO_ROLLUP[],MATCH($B40,MMWR_RATING_RO_ROLLUP[MMWR_RATING_RO_ROLLUP],0),MATCH(H$9,MMWR_RATING_RO_ROLLUP[#Headers],0)),"ERROR"))</f>
        <v>126.291876348</v>
      </c>
      <c r="I40" s="158">
        <f>IF($B40=" ","",IFERROR(INDEX(MMWR_RATING_RO_ROLLUP[],MATCH($B40,MMWR_RATING_RO_ROLLUP[MMWR_RATING_RO_ROLLUP],0),MATCH(I$9,MMWR_RATING_RO_ROLLUP[#Headers],0)),"ERROR"))</f>
        <v>135.10042507969999</v>
      </c>
      <c r="J40" s="42"/>
      <c r="K40" s="42"/>
      <c r="L40" s="42"/>
      <c r="M40" s="42"/>
      <c r="N40" s="42"/>
      <c r="O40" s="42"/>
      <c r="P40" s="28"/>
    </row>
    <row r="41" spans="1:16" x14ac:dyDescent="0.2">
      <c r="A41" s="25"/>
      <c r="B41" s="46" t="s">
        <v>978</v>
      </c>
      <c r="C41" s="157">
        <f>IF($B41=" ","",IFERROR(INDEX(MMWR_RATING_RO_ROLLUP[],MATCH($B41,MMWR_RATING_RO_ROLLUP[MMWR_RATING_RO_ROLLUP],0),MATCH(C$9,MMWR_RATING_RO_ROLLUP[#Headers],0)),"ERROR"))</f>
        <v>3350</v>
      </c>
      <c r="D41" s="158">
        <f>IF($B41=" ","",IFERROR(INDEX(MMWR_RATING_RO_ROLLUP[],MATCH($B41,MMWR_RATING_RO_ROLLUP[MMWR_RATING_RO_ROLLUP],0),MATCH(D$9,MMWR_RATING_RO_ROLLUP[#Headers],0)),"ERROR"))</f>
        <v>70.6874626866</v>
      </c>
      <c r="E41" s="159">
        <f>IF($B41=" ","",IFERROR(INDEX(MMWR_RATING_RO_ROLLUP[],MATCH($B41,MMWR_RATING_RO_ROLLUP[MMWR_RATING_RO_ROLLUP],0),MATCH(E$9,MMWR_RATING_RO_ROLLUP[#Headers],0))/$C41,"ERROR"))</f>
        <v>0.15970149253731344</v>
      </c>
      <c r="F41" s="157">
        <f>IF($B41=" ","",IFERROR(INDEX(MMWR_RATING_RO_ROLLUP[],MATCH($B41,MMWR_RATING_RO_ROLLUP[MMWR_RATING_RO_ROLLUP],0),MATCH(F$9,MMWR_RATING_RO_ROLLUP[#Headers],0)),"ERROR"))</f>
        <v>739</v>
      </c>
      <c r="G41" s="157">
        <f>IF($B41=" ","",IFERROR(INDEX(MMWR_RATING_RO_ROLLUP[],MATCH($B41,MMWR_RATING_RO_ROLLUP[MMWR_RATING_RO_ROLLUP],0),MATCH(G$9,MMWR_RATING_RO_ROLLUP[#Headers],0)),"ERROR"))</f>
        <v>9743</v>
      </c>
      <c r="H41" s="158">
        <f>IF($B41=" ","",IFERROR(INDEX(MMWR_RATING_RO_ROLLUP[],MATCH($B41,MMWR_RATING_RO_ROLLUP[MMWR_RATING_RO_ROLLUP],0),MATCH(H$9,MMWR_RATING_RO_ROLLUP[#Headers],0)),"ERROR"))</f>
        <v>107.12043301760001</v>
      </c>
      <c r="I41" s="158">
        <f>IF($B41=" ","",IFERROR(INDEX(MMWR_RATING_RO_ROLLUP[],MATCH($B41,MMWR_RATING_RO_ROLLUP[MMWR_RATING_RO_ROLLUP],0),MATCH(I$9,MMWR_RATING_RO_ROLLUP[#Headers],0)),"ERROR"))</f>
        <v>117.4962537206</v>
      </c>
      <c r="J41" s="42"/>
      <c r="K41" s="42"/>
      <c r="L41" s="42"/>
      <c r="M41" s="42"/>
      <c r="N41" s="42"/>
      <c r="O41" s="42"/>
      <c r="P41" s="28"/>
    </row>
    <row r="42" spans="1:16" x14ac:dyDescent="0.2">
      <c r="A42" s="25"/>
      <c r="B42" s="46" t="s">
        <v>979</v>
      </c>
      <c r="C42" s="157">
        <f>IF($B42=" ","",IFERROR(INDEX(MMWR_RATING_RO_ROLLUP[],MATCH($B42,MMWR_RATING_RO_ROLLUP[MMWR_RATING_RO_ROLLUP],0),MATCH(C$9,MMWR_RATING_RO_ROLLUP[#Headers],0)),"ERROR"))</f>
        <v>3942</v>
      </c>
      <c r="D42" s="158">
        <f>IF($B42=" ","",IFERROR(INDEX(MMWR_RATING_RO_ROLLUP[],MATCH($B42,MMWR_RATING_RO_ROLLUP[MMWR_RATING_RO_ROLLUP],0),MATCH(D$9,MMWR_RATING_RO_ROLLUP[#Headers],0)),"ERROR"))</f>
        <v>83.064687975599995</v>
      </c>
      <c r="E42" s="159">
        <f>IF($B42=" ","",IFERROR(INDEX(MMWR_RATING_RO_ROLLUP[],MATCH($B42,MMWR_RATING_RO_ROLLUP[MMWR_RATING_RO_ROLLUP],0),MATCH(E$9,MMWR_RATING_RO_ROLLUP[#Headers],0))/$C42,"ERROR"))</f>
        <v>0.20903094875697614</v>
      </c>
      <c r="F42" s="157">
        <f>IF($B42=" ","",IFERROR(INDEX(MMWR_RATING_RO_ROLLUP[],MATCH($B42,MMWR_RATING_RO_ROLLUP[MMWR_RATING_RO_ROLLUP],0),MATCH(F$9,MMWR_RATING_RO_ROLLUP[#Headers],0)),"ERROR"))</f>
        <v>626</v>
      </c>
      <c r="G42" s="157">
        <f>IF($B42=" ","",IFERROR(INDEX(MMWR_RATING_RO_ROLLUP[],MATCH($B42,MMWR_RATING_RO_ROLLUP[MMWR_RATING_RO_ROLLUP],0),MATCH(G$9,MMWR_RATING_RO_ROLLUP[#Headers],0)),"ERROR"))</f>
        <v>8556</v>
      </c>
      <c r="H42" s="158">
        <f>IF($B42=" ","",IFERROR(INDEX(MMWR_RATING_RO_ROLLUP[],MATCH($B42,MMWR_RATING_RO_ROLLUP[MMWR_RATING_RO_ROLLUP],0),MATCH(H$9,MMWR_RATING_RO_ROLLUP[#Headers],0)),"ERROR"))</f>
        <v>147.410543131</v>
      </c>
      <c r="I42" s="158">
        <f>IF($B42=" ","",IFERROR(INDEX(MMWR_RATING_RO_ROLLUP[],MATCH($B42,MMWR_RATING_RO_ROLLUP[MMWR_RATING_RO_ROLLUP],0),MATCH(I$9,MMWR_RATING_RO_ROLLUP[#Headers],0)),"ERROR"))</f>
        <v>151.1791725105</v>
      </c>
      <c r="J42" s="42"/>
      <c r="K42" s="42"/>
      <c r="L42" s="42"/>
      <c r="M42" s="42"/>
      <c r="N42" s="42"/>
      <c r="O42" s="42"/>
      <c r="P42" s="28"/>
    </row>
    <row r="43" spans="1:16" x14ac:dyDescent="0.2">
      <c r="A43" s="25"/>
      <c r="B43" s="47" t="s">
        <v>316</v>
      </c>
      <c r="C43" s="157">
        <f>IF($B43=" ","",IFERROR(INDEX(MMWR_RATING_RO_ROLLUP[],MATCH($B43,MMWR_RATING_RO_ROLLUP[MMWR_RATING_RO_ROLLUP],0),MATCH(C$9,MMWR_RATING_RO_ROLLUP[#Headers],0)),"ERROR"))</f>
        <v>573</v>
      </c>
      <c r="D43" s="158">
        <f>IF($B43=" ","",IFERROR(INDEX(MMWR_RATING_RO_ROLLUP[],MATCH($B43,MMWR_RATING_RO_ROLLUP[MMWR_RATING_RO_ROLLUP],0),MATCH(D$9,MMWR_RATING_RO_ROLLUP[#Headers],0)),"ERROR"))</f>
        <v>60.808027923200001</v>
      </c>
      <c r="E43" s="159">
        <f>IF($B43=" ","",IFERROR(INDEX(MMWR_RATING_RO_ROLLUP[],MATCH($B43,MMWR_RATING_RO_ROLLUP[MMWR_RATING_RO_ROLLUP],0),MATCH(E$9,MMWR_RATING_RO_ROLLUP[#Headers],0))/$C43,"ERROR"))</f>
        <v>0.12216404886561955</v>
      </c>
      <c r="F43" s="157">
        <f>IF($B43=" ","",IFERROR(INDEX(MMWR_RATING_RO_ROLLUP[],MATCH($B43,MMWR_RATING_RO_ROLLUP[MMWR_RATING_RO_ROLLUP],0),MATCH(F$9,MMWR_RATING_RO_ROLLUP[#Headers],0)),"ERROR"))</f>
        <v>26</v>
      </c>
      <c r="G43" s="157">
        <f>IF($B43=" ","",IFERROR(INDEX(MMWR_RATING_RO_ROLLUP[],MATCH($B43,MMWR_RATING_RO_ROLLUP[MMWR_RATING_RO_ROLLUP],0),MATCH(G$9,MMWR_RATING_RO_ROLLUP[#Headers],0)),"ERROR"))</f>
        <v>521</v>
      </c>
      <c r="H43" s="158">
        <f>IF($B43=" ","",IFERROR(INDEX(MMWR_RATING_RO_ROLLUP[],MATCH($B43,MMWR_RATING_RO_ROLLUP[MMWR_RATING_RO_ROLLUP],0),MATCH(H$9,MMWR_RATING_RO_ROLLUP[#Headers],0)),"ERROR"))</f>
        <v>162.73076923080001</v>
      </c>
      <c r="I43" s="158">
        <f>IF($B43=" ","",IFERROR(INDEX(MMWR_RATING_RO_ROLLUP[],MATCH($B43,MMWR_RATING_RO_ROLLUP[MMWR_RATING_RO_ROLLUP],0),MATCH(I$9,MMWR_RATING_RO_ROLLUP[#Headers],0)),"ERROR"))</f>
        <v>200.25911708250001</v>
      </c>
      <c r="J43" s="42"/>
      <c r="K43" s="42"/>
      <c r="L43" s="42"/>
      <c r="M43" s="42"/>
      <c r="N43" s="42"/>
      <c r="O43" s="42"/>
      <c r="P43" s="28"/>
    </row>
    <row r="44" spans="1:16" x14ac:dyDescent="0.2">
      <c r="A44" s="25"/>
      <c r="B44" s="367" t="s">
        <v>751</v>
      </c>
      <c r="C44" s="368"/>
      <c r="D44" s="368"/>
      <c r="E44" s="368"/>
      <c r="F44" s="368"/>
      <c r="G44" s="368"/>
      <c r="H44" s="368"/>
      <c r="I44" s="368"/>
      <c r="J44" s="368"/>
      <c r="K44" s="368"/>
      <c r="L44" s="368"/>
      <c r="M44" s="368"/>
      <c r="N44" s="368"/>
      <c r="O44" s="368"/>
      <c r="P44" s="28"/>
    </row>
    <row r="45" spans="1:16" x14ac:dyDescent="0.2">
      <c r="A45" s="25"/>
      <c r="B45" s="45" t="s">
        <v>712</v>
      </c>
      <c r="C45" s="157">
        <f>IF($B45=" ","",IFERROR(INDEX(MMWR_RATING_RO_ROLLUP[],MATCH($B45,MMWR_RATING_RO_ROLLUP[MMWR_RATING_RO_ROLLUP],0),MATCH(C$9,MMWR_RATING_RO_ROLLUP[#Headers],0)),"ERROR"))</f>
        <v>8196</v>
      </c>
      <c r="D45" s="158">
        <f>IF($B45=" ","",IFERROR(INDEX(MMWR_RATING_RO_ROLLUP[],MATCH($B45,MMWR_RATING_RO_ROLLUP[MMWR_RATING_RO_ROLLUP],0),MATCH(D$9,MMWR_RATING_RO_ROLLUP[#Headers],0)),"ERROR"))</f>
        <v>80.289165446599995</v>
      </c>
      <c r="E45" s="159">
        <f>IF($B45=" ","",IFERROR(INDEX(MMWR_RATING_RO_ROLLUP[],MATCH($B45,MMWR_RATING_RO_ROLLUP[MMWR_RATING_RO_ROLLUP],0),MATCH(E$9,MMWR_RATING_RO_ROLLUP[#Headers],0))/$C45,"ERROR"))</f>
        <v>0.18862859931673986</v>
      </c>
      <c r="F45" s="157">
        <f>IF($B45=" ","",IFERROR(INDEX(MMWR_RATING_RO_ROLLUP[],MATCH($B45,MMWR_RATING_RO_ROLLUP[MMWR_RATING_RO_ROLLUP],0),MATCH(F$9,MMWR_RATING_RO_ROLLUP[#Headers],0)),"ERROR"))</f>
        <v>1519</v>
      </c>
      <c r="G45" s="157">
        <f>IF($B45=" ","",IFERROR(INDEX(MMWR_RATING_RO_ROLLUP[],MATCH($B45,MMWR_RATING_RO_ROLLUP[MMWR_RATING_RO_ROLLUP],0),MATCH(G$9,MMWR_RATING_RO_ROLLUP[#Headers],0)),"ERROR"))</f>
        <v>18851</v>
      </c>
      <c r="H45" s="158">
        <f>IF($B45=" ","",IFERROR(INDEX(MMWR_RATING_RO_ROLLUP[],MATCH($B45,MMWR_RATING_RO_ROLLUP[MMWR_RATING_RO_ROLLUP],0),MATCH(H$9,MMWR_RATING_RO_ROLLUP[#Headers],0)),"ERROR"))</f>
        <v>144.8926925609</v>
      </c>
      <c r="I45" s="158">
        <f>IF($B45=" ","",IFERROR(INDEX(MMWR_RATING_RO_ROLLUP[],MATCH($B45,MMWR_RATING_RO_ROLLUP[MMWR_RATING_RO_ROLLUP],0),MATCH(I$9,MMWR_RATING_RO_ROLLUP[#Headers],0)),"ERROR"))</f>
        <v>154.40666277650001</v>
      </c>
      <c r="J45" s="42"/>
      <c r="K45" s="42"/>
      <c r="L45" s="42"/>
      <c r="M45" s="42"/>
      <c r="N45" s="42"/>
      <c r="O45" s="42"/>
      <c r="P45" s="28"/>
    </row>
    <row r="46" spans="1:16" x14ac:dyDescent="0.2">
      <c r="A46" s="25"/>
      <c r="B46" s="46" t="s">
        <v>219</v>
      </c>
      <c r="C46" s="157">
        <f>IF($B46=" ","",IFERROR(INDEX(MMWR_RATING_RO_ROLLUP[],MATCH($B46,MMWR_RATING_RO_ROLLUP[MMWR_RATING_RO_ROLLUP],0),MATCH(C$9,MMWR_RATING_RO_ROLLUP[#Headers],0)),"ERROR"))</f>
        <v>3285</v>
      </c>
      <c r="D46" s="158">
        <f>IF($B46=" ","",IFERROR(INDEX(MMWR_RATING_RO_ROLLUP[],MATCH($B46,MMWR_RATING_RO_ROLLUP[MMWR_RATING_RO_ROLLUP],0),MATCH(D$9,MMWR_RATING_RO_ROLLUP[#Headers],0)),"ERROR"))</f>
        <v>81.5796042618</v>
      </c>
      <c r="E46" s="159">
        <f>IF($B46=" ","",IFERROR(INDEX(MMWR_RATING_RO_ROLLUP[],MATCH($B46,MMWR_RATING_RO_ROLLUP[MMWR_RATING_RO_ROLLUP],0),MATCH(E$9,MMWR_RATING_RO_ROLLUP[#Headers],0))/$C46,"ERROR"))</f>
        <v>0.18843226788432269</v>
      </c>
      <c r="F46" s="157">
        <f>IF($B46=" ","",IFERROR(INDEX(MMWR_RATING_RO_ROLLUP[],MATCH($B46,MMWR_RATING_RO_ROLLUP[MMWR_RATING_RO_ROLLUP],0),MATCH(F$9,MMWR_RATING_RO_ROLLUP[#Headers],0)),"ERROR"))</f>
        <v>647</v>
      </c>
      <c r="G46" s="157">
        <f>IF($B46=" ","",IFERROR(INDEX(MMWR_RATING_RO_ROLLUP[],MATCH($B46,MMWR_RATING_RO_ROLLUP[MMWR_RATING_RO_ROLLUP],0),MATCH(G$9,MMWR_RATING_RO_ROLLUP[#Headers],0)),"ERROR"))</f>
        <v>9963</v>
      </c>
      <c r="H46" s="158">
        <f>IF($B46=" ","",IFERROR(INDEX(MMWR_RATING_RO_ROLLUP[],MATCH($B46,MMWR_RATING_RO_ROLLUP[MMWR_RATING_RO_ROLLUP],0),MATCH(H$9,MMWR_RATING_RO_ROLLUP[#Headers],0)),"ERROR"))</f>
        <v>150.15455950539999</v>
      </c>
      <c r="I46" s="158">
        <f>IF($B46=" ","",IFERROR(INDEX(MMWR_RATING_RO_ROLLUP[],MATCH($B46,MMWR_RATING_RO_ROLLUP[MMWR_RATING_RO_ROLLUP],0),MATCH(I$9,MMWR_RATING_RO_ROLLUP[#Headers],0)),"ERROR"))</f>
        <v>174.6089531266</v>
      </c>
      <c r="J46" s="42"/>
      <c r="K46" s="42"/>
      <c r="L46" s="42"/>
      <c r="M46" s="42"/>
      <c r="N46" s="42"/>
      <c r="O46" s="42"/>
      <c r="P46" s="28"/>
    </row>
    <row r="47" spans="1:16" x14ac:dyDescent="0.2">
      <c r="A47" s="25"/>
      <c r="B47" s="46" t="s">
        <v>221</v>
      </c>
      <c r="C47" s="157">
        <f>IF($B47=" ","",IFERROR(INDEX(MMWR_RATING_RO_ROLLUP[],MATCH($B47,MMWR_RATING_RO_ROLLUP[MMWR_RATING_RO_ROLLUP],0),MATCH(C$9,MMWR_RATING_RO_ROLLUP[#Headers],0)),"ERROR"))</f>
        <v>4274</v>
      </c>
      <c r="D47" s="158">
        <f>IF($B47=" ","",IFERROR(INDEX(MMWR_RATING_RO_ROLLUP[],MATCH($B47,MMWR_RATING_RO_ROLLUP[MMWR_RATING_RO_ROLLUP],0),MATCH(D$9,MMWR_RATING_RO_ROLLUP[#Headers],0)),"ERROR"))</f>
        <v>77.248713149300002</v>
      </c>
      <c r="E47" s="159">
        <f>IF($B47=" ","",IFERROR(INDEX(MMWR_RATING_RO_ROLLUP[],MATCH($B47,MMWR_RATING_RO_ROLLUP[MMWR_RATING_RO_ROLLUP],0),MATCH(E$9,MMWR_RATING_RO_ROLLUP[#Headers],0))/$C47,"ERROR"))</f>
        <v>0.18109499298081422</v>
      </c>
      <c r="F47" s="157">
        <f>IF($B47=" ","",IFERROR(INDEX(MMWR_RATING_RO_ROLLUP[],MATCH($B47,MMWR_RATING_RO_ROLLUP[MMWR_RATING_RO_ROLLUP],0),MATCH(F$9,MMWR_RATING_RO_ROLLUP[#Headers],0)),"ERROR"))</f>
        <v>747</v>
      </c>
      <c r="G47" s="157">
        <f>IF($B47=" ","",IFERROR(INDEX(MMWR_RATING_RO_ROLLUP[],MATCH($B47,MMWR_RATING_RO_ROLLUP[MMWR_RATING_RO_ROLLUP],0),MATCH(G$9,MMWR_RATING_RO_ROLLUP[#Headers],0)),"ERROR"))</f>
        <v>7366</v>
      </c>
      <c r="H47" s="158">
        <f>IF($B47=" ","",IFERROR(INDEX(MMWR_RATING_RO_ROLLUP[],MATCH($B47,MMWR_RATING_RO_ROLLUP[MMWR_RATING_RO_ROLLUP],0),MATCH(H$9,MMWR_RATING_RO_ROLLUP[#Headers],0)),"ERROR"))</f>
        <v>138.98661311910001</v>
      </c>
      <c r="I47" s="158">
        <f>IF($B47=" ","",IFERROR(INDEX(MMWR_RATING_RO_ROLLUP[],MATCH($B47,MMWR_RATING_RO_ROLLUP[MMWR_RATING_RO_ROLLUP],0),MATCH(I$9,MMWR_RATING_RO_ROLLUP[#Headers],0)),"ERROR"))</f>
        <v>127.64770567470001</v>
      </c>
      <c r="J47" s="42"/>
      <c r="K47" s="42"/>
      <c r="L47" s="42"/>
      <c r="M47" s="42"/>
      <c r="N47" s="42"/>
      <c r="O47" s="42"/>
      <c r="P47" s="28"/>
    </row>
    <row r="48" spans="1:16" x14ac:dyDescent="0.2">
      <c r="A48" s="25"/>
      <c r="B48" s="48" t="s">
        <v>317</v>
      </c>
      <c r="C48" s="157">
        <f>IF($B48=" ","",IFERROR(INDEX(MMWR_RATING_RO_ROLLUP[],MATCH($B48,MMWR_RATING_RO_ROLLUP[MMWR_RATING_RO_ROLLUP],0),MATCH(C$9,MMWR_RATING_RO_ROLLUP[#Headers],0)),"ERROR"))</f>
        <v>637</v>
      </c>
      <c r="D48" s="158">
        <f>IF($B48=" ","",IFERROR(INDEX(MMWR_RATING_RO_ROLLUP[],MATCH($B48,MMWR_RATING_RO_ROLLUP[MMWR_RATING_RO_ROLLUP],0),MATCH(D$9,MMWR_RATING_RO_ROLLUP[#Headers],0)),"ERROR"))</f>
        <v>94.0345368917</v>
      </c>
      <c r="E48" s="159">
        <f>IF($B48=" ","",IFERROR(INDEX(MMWR_RATING_RO_ROLLUP[],MATCH($B48,MMWR_RATING_RO_ROLLUP[MMWR_RATING_RO_ROLLUP],0),MATCH(E$9,MMWR_RATING_RO_ROLLUP[#Headers],0))/$C48,"ERROR"))</f>
        <v>0.24018838304552589</v>
      </c>
      <c r="F48" s="157">
        <f>IF($B48=" ","",IFERROR(INDEX(MMWR_RATING_RO_ROLLUP[],MATCH($B48,MMWR_RATING_RO_ROLLUP[MMWR_RATING_RO_ROLLUP],0),MATCH(F$9,MMWR_RATING_RO_ROLLUP[#Headers],0)),"ERROR"))</f>
        <v>125</v>
      </c>
      <c r="G48" s="157">
        <f>IF($B48=" ","",IFERROR(INDEX(MMWR_RATING_RO_ROLLUP[],MATCH($B48,MMWR_RATING_RO_ROLLUP[MMWR_RATING_RO_ROLLUP],0),MATCH(G$9,MMWR_RATING_RO_ROLLUP[#Headers],0)),"ERROR"))</f>
        <v>1522</v>
      </c>
      <c r="H48" s="158">
        <f>IF($B48=" ","",IFERROR(INDEX(MMWR_RATING_RO_ROLLUP[],MATCH($B48,MMWR_RATING_RO_ROLLUP[MMWR_RATING_RO_ROLLUP],0),MATCH(H$9,MMWR_RATING_RO_ROLLUP[#Headers],0)),"ERROR"))</f>
        <v>152.952</v>
      </c>
      <c r="I48" s="158">
        <f>IF($B48=" ","",IFERROR(INDEX(MMWR_RATING_RO_ROLLUP[],MATCH($B48,MMWR_RATING_RO_ROLLUP[MMWR_RATING_RO_ROLLUP],0),MATCH(I$9,MMWR_RATING_RO_ROLLUP[#Headers],0)),"ERROR"))</f>
        <v>151.667542707</v>
      </c>
      <c r="J48" s="42"/>
      <c r="K48" s="42"/>
      <c r="L48" s="42"/>
      <c r="M48" s="42"/>
      <c r="N48" s="42"/>
      <c r="O48" s="42"/>
      <c r="P48" s="28"/>
    </row>
    <row r="49" spans="1:16" ht="12" customHeight="1" x14ac:dyDescent="0.2">
      <c r="A49" s="25"/>
      <c r="B49" s="26"/>
      <c r="C49" s="26"/>
      <c r="D49" s="26"/>
      <c r="E49" s="26"/>
      <c r="F49" s="26"/>
      <c r="G49" s="26"/>
      <c r="H49" s="26"/>
      <c r="I49" s="26"/>
      <c r="J49" s="26"/>
      <c r="K49" s="27" t="s">
        <v>939</v>
      </c>
      <c r="L49" s="27" t="s">
        <v>949</v>
      </c>
      <c r="M49" s="27" t="s">
        <v>950</v>
      </c>
      <c r="N49" s="27" t="s">
        <v>951</v>
      </c>
      <c r="O49" s="27" t="s">
        <v>952</v>
      </c>
      <c r="P49" s="28"/>
    </row>
    <row r="50" spans="1:16" hidden="1" x14ac:dyDescent="0.2"/>
    <row r="51" spans="1:16" hidden="1" x14ac:dyDescent="0.2"/>
    <row r="52" spans="1:16" hidden="1" x14ac:dyDescent="0.2"/>
  </sheetData>
  <sheetProtection password="A320" sheet="1" autoFilter="0"/>
  <protectedRanges>
    <protectedRange sqref="C34:K38 C45:K48 C40:K43 C15:K32 C13:K13"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A9:P49 P6:P8 L6:M8 A6:J8 A5:P5 A4 C4:P4">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7" t="s">
        <v>303</v>
      </c>
      <c r="D2" s="348"/>
      <c r="E2" s="348"/>
      <c r="F2" s="348"/>
      <c r="G2" s="348"/>
      <c r="H2" s="348"/>
      <c r="I2" s="348"/>
      <c r="J2" s="347" t="s">
        <v>309</v>
      </c>
      <c r="K2" s="348"/>
      <c r="L2" s="348"/>
      <c r="M2" s="349"/>
      <c r="N2" s="28"/>
    </row>
    <row r="3" spans="1:16" ht="24" customHeight="1" thickBot="1" x14ac:dyDescent="0.4">
      <c r="A3" s="25"/>
      <c r="B3" s="29"/>
      <c r="C3" s="350"/>
      <c r="D3" s="351"/>
      <c r="E3" s="351"/>
      <c r="F3" s="351"/>
      <c r="G3" s="351"/>
      <c r="H3" s="351"/>
      <c r="I3" s="351"/>
      <c r="J3" s="350" t="str">
        <f>Transformation!B4</f>
        <v>As of: June 20, 2015</v>
      </c>
      <c r="K3" s="351"/>
      <c r="L3" s="351"/>
      <c r="M3" s="352"/>
      <c r="N3" s="28"/>
    </row>
    <row r="4" spans="1:16" ht="51" customHeight="1" thickBot="1" x14ac:dyDescent="0.35">
      <c r="A4" s="30"/>
      <c r="B4" s="251" t="s">
        <v>465</v>
      </c>
      <c r="C4" s="353" t="s">
        <v>993</v>
      </c>
      <c r="D4" s="354"/>
      <c r="E4" s="354"/>
      <c r="F4" s="354"/>
      <c r="G4" s="354"/>
      <c r="H4" s="354"/>
      <c r="I4" s="354"/>
      <c r="J4" s="354"/>
      <c r="K4" s="354"/>
      <c r="L4" s="354"/>
      <c r="M4" s="355"/>
      <c r="N4" s="28"/>
      <c r="O4" s="22"/>
      <c r="P4" s="23"/>
    </row>
    <row r="5" spans="1:16" ht="27" customHeight="1" thickBot="1" x14ac:dyDescent="0.25">
      <c r="A5" s="30"/>
      <c r="B5" s="49"/>
      <c r="C5" s="356" t="s">
        <v>1065</v>
      </c>
      <c r="D5" s="357"/>
      <c r="E5" s="357"/>
      <c r="F5" s="357"/>
      <c r="G5" s="357"/>
      <c r="H5" s="357"/>
      <c r="I5" s="357"/>
      <c r="J5" s="357"/>
      <c r="K5" s="357"/>
      <c r="L5" s="357"/>
      <c r="M5" s="357"/>
      <c r="N5" s="357"/>
      <c r="O5" s="358"/>
    </row>
    <row r="6" spans="1:16" ht="55.5" customHeight="1" x14ac:dyDescent="0.2">
      <c r="A6" s="30"/>
      <c r="B6" s="31"/>
      <c r="C6" s="32" t="s">
        <v>198</v>
      </c>
      <c r="D6" s="359" t="s">
        <v>16</v>
      </c>
      <c r="E6" s="360"/>
      <c r="F6" s="33" t="s">
        <v>201</v>
      </c>
      <c r="G6" s="359" t="s">
        <v>206</v>
      </c>
      <c r="H6" s="361"/>
      <c r="I6" s="33" t="s">
        <v>204</v>
      </c>
      <c r="J6" s="50" t="s">
        <v>14</v>
      </c>
      <c r="K6" s="33" t="s">
        <v>209</v>
      </c>
      <c r="L6" s="365" t="s">
        <v>88</v>
      </c>
      <c r="M6" s="388"/>
      <c r="N6" s="28"/>
    </row>
    <row r="7" spans="1:16" ht="51.75" customHeight="1" x14ac:dyDescent="0.2">
      <c r="A7" s="30"/>
      <c r="B7" s="34"/>
      <c r="C7" s="35" t="s">
        <v>199</v>
      </c>
      <c r="D7" s="369" t="s">
        <v>0</v>
      </c>
      <c r="E7" s="370"/>
      <c r="F7" s="36" t="s">
        <v>202</v>
      </c>
      <c r="G7" s="371" t="s">
        <v>207</v>
      </c>
      <c r="H7" s="371"/>
      <c r="I7" s="36" t="s">
        <v>205</v>
      </c>
      <c r="J7" s="51" t="s">
        <v>19</v>
      </c>
      <c r="K7" s="36" t="s">
        <v>210</v>
      </c>
      <c r="L7" s="384" t="s">
        <v>90</v>
      </c>
      <c r="M7" s="385"/>
      <c r="N7" s="28"/>
    </row>
    <row r="8" spans="1:16" ht="51.75" customHeight="1" thickBot="1" x14ac:dyDescent="0.25">
      <c r="A8" s="25"/>
      <c r="B8" s="28"/>
      <c r="C8" s="37" t="s">
        <v>200</v>
      </c>
      <c r="D8" s="372" t="s">
        <v>18</v>
      </c>
      <c r="E8" s="373"/>
      <c r="F8" s="38" t="s">
        <v>203</v>
      </c>
      <c r="G8" s="374" t="s">
        <v>17</v>
      </c>
      <c r="H8" s="374"/>
      <c r="I8" s="38" t="s">
        <v>208</v>
      </c>
      <c r="J8" s="52" t="s">
        <v>87</v>
      </c>
      <c r="K8" s="38" t="s">
        <v>211</v>
      </c>
      <c r="L8" s="386" t="s">
        <v>89</v>
      </c>
      <c r="M8" s="387"/>
      <c r="N8" s="28"/>
    </row>
    <row r="9" spans="1:16" x14ac:dyDescent="0.2">
      <c r="A9" s="28"/>
      <c r="B9" s="28"/>
      <c r="C9" s="39" t="s">
        <v>716</v>
      </c>
      <c r="D9" s="39" t="s">
        <v>718</v>
      </c>
      <c r="E9" s="39" t="s">
        <v>717</v>
      </c>
      <c r="F9" s="39" t="s">
        <v>720</v>
      </c>
      <c r="G9" s="39" t="s">
        <v>719</v>
      </c>
      <c r="H9" s="39" t="s">
        <v>730</v>
      </c>
      <c r="I9" s="39" t="s">
        <v>729</v>
      </c>
      <c r="J9" s="39"/>
      <c r="K9" s="39"/>
      <c r="L9" s="39"/>
      <c r="M9" s="39"/>
      <c r="N9" s="28"/>
    </row>
    <row r="10" spans="1:16" ht="15.75" customHeight="1" x14ac:dyDescent="0.2">
      <c r="A10" s="25"/>
      <c r="B10" s="26"/>
      <c r="C10" s="375" t="s">
        <v>302</v>
      </c>
      <c r="D10" s="375"/>
      <c r="E10" s="375"/>
      <c r="F10" s="375"/>
      <c r="G10" s="375"/>
      <c r="H10" s="375"/>
      <c r="I10" s="375"/>
      <c r="J10" s="375"/>
      <c r="K10" s="375"/>
      <c r="L10" s="375"/>
      <c r="M10" s="379"/>
      <c r="N10" s="28"/>
    </row>
    <row r="11" spans="1:16" ht="64.5" customHeight="1" x14ac:dyDescent="0.2">
      <c r="A11" s="25"/>
      <c r="B11" s="26"/>
      <c r="C11" s="53" t="s">
        <v>234</v>
      </c>
      <c r="D11" s="53" t="s">
        <v>140</v>
      </c>
      <c r="E11" s="53" t="s">
        <v>235</v>
      </c>
      <c r="F11" s="53" t="s">
        <v>195</v>
      </c>
      <c r="G11" s="53" t="s">
        <v>212</v>
      </c>
      <c r="H11" s="53" t="s">
        <v>214</v>
      </c>
      <c r="I11" s="53" t="s">
        <v>215</v>
      </c>
      <c r="J11" s="381" t="s">
        <v>994</v>
      </c>
      <c r="K11" s="382"/>
      <c r="L11" s="382"/>
      <c r="M11" s="383"/>
      <c r="N11" s="28"/>
    </row>
    <row r="12" spans="1:16" x14ac:dyDescent="0.2">
      <c r="A12" s="25"/>
      <c r="B12" s="41" t="s">
        <v>746</v>
      </c>
      <c r="C12" s="157">
        <f>IF($B12=" ","",IFERROR(INDEX(MMWR_RATING_RO_ROLLUP[],MATCH($B12,MMWR_RATING_RO_ROLLUP[MMWR_RATING_RO_ROLLUP],0),MATCH(C$9,MMWR_RATING_RO_ROLLUP[#Headers],0)),"ERROR"))</f>
        <v>396512</v>
      </c>
      <c r="D12" s="158">
        <f>IF($B12=" ","",IFERROR(INDEX(MMWR_RATING_RO_ROLLUP[],MATCH($B12,MMWR_RATING_RO_ROLLUP[MMWR_RATING_RO_ROLLUP],0),MATCH(D$9,MMWR_RATING_RO_ROLLUP[#Headers],0)),"ERROR"))</f>
        <v>119.7443053426</v>
      </c>
      <c r="E12" s="159">
        <f>IF($B12=" ","",IFERROR(INDEX(MMWR_RATING_RO_ROLLUP[],MATCH($B12,MMWR_RATING_RO_ROLLUP[MMWR_RATING_RO_ROLLUP],0),MATCH(E$9,MMWR_RATING_RO_ROLLUP[#Headers],0))/$C12,"ERROR"))</f>
        <v>0.33381083044144944</v>
      </c>
      <c r="F12" s="157">
        <f>IF($B12=" ","",IFERROR(INDEX(MMWR_RATING_RO_ROLLUP[],MATCH($B12,MMWR_RATING_RO_ROLLUP[MMWR_RATING_RO_ROLLUP],0),MATCH(F$9,MMWR_RATING_RO_ROLLUP[#Headers],0)),"ERROR"))</f>
        <v>81454</v>
      </c>
      <c r="G12" s="157">
        <f>IF($B12=" ","",IFERROR(INDEX(MMWR_RATING_RO_ROLLUP[],MATCH($B12,MMWR_RATING_RO_ROLLUP[MMWR_RATING_RO_ROLLUP],0),MATCH(G$9,MMWR_RATING_RO_ROLLUP[#Headers],0)),"ERROR"))</f>
        <v>999645</v>
      </c>
      <c r="H12" s="158">
        <f>IF($B12=" ","",IFERROR(INDEX(MMWR_RATING_RO_ROLLUP[],MATCH($B12,MMWR_RATING_RO_ROLLUP[MMWR_RATING_RO_ROLLUP],0),MATCH(H$9,MMWR_RATING_RO_ROLLUP[#Headers],0)),"ERROR"))</f>
        <v>161.50890072920001</v>
      </c>
      <c r="I12" s="158">
        <f>IF($B12=" ","",IFERROR(INDEX(MMWR_RATING_RO_ROLLUP[],MATCH($B12,MMWR_RATING_RO_ROLLUP[MMWR_RATING_RO_ROLLUP],0),MATCH(I$9,MMWR_RATING_RO_ROLLUP[#Headers],0)),"ERROR"))</f>
        <v>177.1510606265</v>
      </c>
      <c r="J12" s="42"/>
      <c r="K12" s="42"/>
      <c r="L12" s="42"/>
      <c r="M12" s="42"/>
      <c r="N12" s="28"/>
    </row>
    <row r="13" spans="1:16" x14ac:dyDescent="0.2">
      <c r="A13" s="25"/>
      <c r="B13" s="367" t="s">
        <v>749</v>
      </c>
      <c r="C13" s="368"/>
      <c r="D13" s="368"/>
      <c r="E13" s="368"/>
      <c r="F13" s="368"/>
      <c r="G13" s="368"/>
      <c r="H13" s="368"/>
      <c r="I13" s="368"/>
      <c r="J13" s="368"/>
      <c r="K13" s="368"/>
      <c r="L13" s="368"/>
      <c r="M13" s="380"/>
      <c r="N13" s="28"/>
    </row>
    <row r="14" spans="1:16" x14ac:dyDescent="0.2">
      <c r="A14" s="25"/>
      <c r="B14" s="41" t="s">
        <v>745</v>
      </c>
      <c r="C14" s="157">
        <f>IF($B14=" ","",IFERROR(INDEX(MMWR_RATING_RO_ROLLUP[],MATCH($B14,MMWR_RATING_RO_ROLLUP[MMWR_RATING_RO_ROLLUP],0),MATCH(C$9,MMWR_RATING_RO_ROLLUP[#Headers],0)),"ERROR"))</f>
        <v>361466</v>
      </c>
      <c r="D14" s="158">
        <f>IF($B14=" ","",IFERROR(INDEX(MMWR_RATING_RO_ROLLUP[],MATCH($B14,MMWR_RATING_RO_ROLLUP[MMWR_RATING_RO_ROLLUP],0),MATCH(D$9,MMWR_RATING_RO_ROLLUP[#Headers],0)),"ERROR"))</f>
        <v>124.6508274637</v>
      </c>
      <c r="E14" s="159">
        <f>IF($B14=" ","",IFERROR(INDEX(MMWR_RATING_RO_ROLLUP[],MATCH($B14,MMWR_RATING_RO_ROLLUP[MMWR_RATING_RO_ROLLUP],0),MATCH(E$9,MMWR_RATING_RO_ROLLUP[#Headers],0))/$C14,"ERROR"))</f>
        <v>0.35289349482385618</v>
      </c>
      <c r="F14" s="157">
        <f>IF($B14=" ","",IFERROR(INDEX(MMWR_RATING_RO_ROLLUP[],MATCH($B14,MMWR_RATING_RO_ROLLUP[MMWR_RATING_RO_ROLLUP],0),MATCH(F$9,MMWR_RATING_RO_ROLLUP[#Headers],0)),"ERROR"))</f>
        <v>70161</v>
      </c>
      <c r="G14" s="157">
        <f>IF($B14=" ","",IFERROR(INDEX(MMWR_RATING_RO_ROLLUP[],MATCH($B14,MMWR_RATING_RO_ROLLUP[MMWR_RATING_RO_ROLLUP],0),MATCH(G$9,MMWR_RATING_RO_ROLLUP[#Headers],0)),"ERROR"))</f>
        <v>851092</v>
      </c>
      <c r="H14" s="158">
        <f>IF($B14=" ","",IFERROR(INDEX(MMWR_RATING_RO_ROLLUP[],MATCH($B14,MMWR_RATING_RO_ROLLUP[MMWR_RATING_RO_ROLLUP],0),MATCH(H$9,MMWR_RATING_RO_ROLLUP[#Headers],0)),"ERROR"))</f>
        <v>174.4342013369</v>
      </c>
      <c r="I14" s="158">
        <f>IF($B14=" ","",IFERROR(INDEX(MMWR_RATING_RO_ROLLUP[],MATCH($B14,MMWR_RATING_RO_ROLLUP[MMWR_RATING_RO_ROLLUP],0),MATCH(I$9,MMWR_RATING_RO_ROLLUP[#Headers],0)),"ERROR"))</f>
        <v>193.26077204340001</v>
      </c>
      <c r="J14" s="42"/>
      <c r="K14" s="42"/>
      <c r="L14" s="42"/>
      <c r="M14" s="42"/>
      <c r="N14" s="28"/>
    </row>
    <row r="15" spans="1:16" x14ac:dyDescent="0.2">
      <c r="A15" s="25"/>
      <c r="B15" s="252" t="s">
        <v>379</v>
      </c>
      <c r="C15" s="157">
        <f>IF($B15=" ","",IFERROR(INDEX(MMWR_RATING_RO_ROLLUP[],MATCH($B15,MMWR_RATING_RO_ROLLUP[MMWR_RATING_RO_ROLLUP],0),MATCH(C$9,MMWR_RATING_RO_ROLLUP[#Headers],0)),"ERROR"))</f>
        <v>78903</v>
      </c>
      <c r="D15" s="158">
        <f>IF($B15=" ","",IFERROR(INDEX(MMWR_RATING_RO_ROLLUP[],MATCH($B15,MMWR_RATING_RO_ROLLUP[MMWR_RATING_RO_ROLLUP],0),MATCH(D$9,MMWR_RATING_RO_ROLLUP[#Headers],0)),"ERROR"))</f>
        <v>127.0015081809</v>
      </c>
      <c r="E15" s="159">
        <f>IF($B15=" ","",IFERROR(INDEX(MMWR_RATING_RO_ROLLUP[],MATCH($B15,MMWR_RATING_RO_ROLLUP[MMWR_RATING_RO_ROLLUP],0),MATCH(E$9,MMWR_RATING_RO_ROLLUP[#Headers],0))/$C15,"ERROR"))</f>
        <v>0.36565149614083114</v>
      </c>
      <c r="F15" s="157">
        <f>IF($B15=" ","",IFERROR(INDEX(MMWR_RATING_RO_ROLLUP[],MATCH($B15,MMWR_RATING_RO_ROLLUP[MMWR_RATING_RO_ROLLUP],0),MATCH(F$9,MMWR_RATING_RO_ROLLUP[#Headers],0)),"ERROR"))</f>
        <v>15812</v>
      </c>
      <c r="G15" s="157">
        <f>IF($B15=" ","",IFERROR(INDEX(MMWR_RATING_RO_ROLLUP[],MATCH($B15,MMWR_RATING_RO_ROLLUP[MMWR_RATING_RO_ROLLUP],0),MATCH(G$9,MMWR_RATING_RO_ROLLUP[#Headers],0)),"ERROR"))</f>
        <v>188570</v>
      </c>
      <c r="H15" s="158">
        <f>IF($B15=" ","",IFERROR(INDEX(MMWR_RATING_RO_ROLLUP[],MATCH($B15,MMWR_RATING_RO_ROLLUP[MMWR_RATING_RO_ROLLUP],0),MATCH(H$9,MMWR_RATING_RO_ROLLUP[#Headers],0)),"ERROR"))</f>
        <v>177.60264356190001</v>
      </c>
      <c r="I15" s="158">
        <f>IF($B15=" ","",IFERROR(INDEX(MMWR_RATING_RO_ROLLUP[],MATCH($B15,MMWR_RATING_RO_ROLLUP[MMWR_RATING_RO_ROLLUP],0),MATCH(I$9,MMWR_RATING_RO_ROLLUP[#Headers],0)),"ERROR"))</f>
        <v>199.2169114918</v>
      </c>
      <c r="J15" s="42"/>
      <c r="K15" s="42"/>
      <c r="L15" s="42"/>
      <c r="M15" s="42"/>
      <c r="N15" s="28"/>
    </row>
    <row r="16" spans="1:16" x14ac:dyDescent="0.2">
      <c r="A16" s="25"/>
      <c r="B16" s="8" t="str">
        <f>VLOOKUP($B$15,DISTRICT_RO[],2,0)</f>
        <v>Baltimore VSC</v>
      </c>
      <c r="C16" s="157">
        <f>IF($B16=" ","",IFERROR(INDEX(MMWR_RATING_RO_ROLLUP[],MATCH($B16,MMWR_RATING_RO_ROLLUP[MMWR_RATING_RO_ROLLUP],0),MATCH(C$9,MMWR_RATING_RO_ROLLUP[#Headers],0)),"ERROR"))</f>
        <v>6267</v>
      </c>
      <c r="D16" s="158">
        <f>IF($B16=" ","",IFERROR(INDEX(MMWR_RATING_RO_ROLLUP[],MATCH($B16,MMWR_RATING_RO_ROLLUP[MMWR_RATING_RO_ROLLUP],0),MATCH(D$9,MMWR_RATING_RO_ROLLUP[#Headers],0)),"ERROR"))</f>
        <v>150.44790170740001</v>
      </c>
      <c r="E16" s="159">
        <f>IF($B16=" ","",IFERROR(INDEX(MMWR_RATING_RO_ROLLUP[],MATCH($B16,MMWR_RATING_RO_ROLLUP[MMWR_RATING_RO_ROLLUP],0),MATCH(E$9,MMWR_RATING_RO_ROLLUP[#Headers],0))/$C16,"ERROR"))</f>
        <v>0.43003031753630128</v>
      </c>
      <c r="F16" s="157">
        <f>IF($B16=" ","",IFERROR(INDEX(MMWR_RATING_RO_ROLLUP[],MATCH($B16,MMWR_RATING_RO_ROLLUP[MMWR_RATING_RO_ROLLUP],0),MATCH(F$9,MMWR_RATING_RO_ROLLUP[#Headers],0)),"ERROR"))</f>
        <v>1441</v>
      </c>
      <c r="G16" s="157">
        <f>IF($B16=" ","",IFERROR(INDEX(MMWR_RATING_RO_ROLLUP[],MATCH($B16,MMWR_RATING_RO_ROLLUP[MMWR_RATING_RO_ROLLUP],0),MATCH(G$9,MMWR_RATING_RO_ROLLUP[#Headers],0)),"ERROR"))</f>
        <v>14049</v>
      </c>
      <c r="H16" s="158">
        <f>IF($B16=" ","",IFERROR(INDEX(MMWR_RATING_RO_ROLLUP[],MATCH($B16,MMWR_RATING_RO_ROLLUP[MMWR_RATING_RO_ROLLUP],0),MATCH(H$9,MMWR_RATING_RO_ROLLUP[#Headers],0)),"ERROR"))</f>
        <v>239.48299791810001</v>
      </c>
      <c r="I16" s="158">
        <f>IF($B16=" ","",IFERROR(INDEX(MMWR_RATING_RO_ROLLUP[],MATCH($B16,MMWR_RATING_RO_ROLLUP[MMWR_RATING_RO_ROLLUP],0),MATCH(I$9,MMWR_RATING_RO_ROLLUP[#Headers],0)),"ERROR"))</f>
        <v>263.583884974</v>
      </c>
      <c r="J16" s="42"/>
      <c r="K16" s="42"/>
      <c r="L16" s="42"/>
      <c r="M16" s="42"/>
      <c r="N16" s="28"/>
    </row>
    <row r="17" spans="1:14" x14ac:dyDescent="0.2">
      <c r="A17" s="25"/>
      <c r="B17" s="8" t="str">
        <f>VLOOKUP($B$15,DISTRICT_RO[],3,0)</f>
        <v>Boston VSC</v>
      </c>
      <c r="C17" s="157">
        <f>IF($B17=" ","",IFERROR(INDEX(MMWR_RATING_RO_ROLLUP[],MATCH($B17,MMWR_RATING_RO_ROLLUP[MMWR_RATING_RO_ROLLUP],0),MATCH(C$9,MMWR_RATING_RO_ROLLUP[#Headers],0)),"ERROR"))</f>
        <v>3885</v>
      </c>
      <c r="D17" s="158">
        <f>IF($B17=" ","",IFERROR(INDEX(MMWR_RATING_RO_ROLLUP[],MATCH($B17,MMWR_RATING_RO_ROLLUP[MMWR_RATING_RO_ROLLUP],0),MATCH(D$9,MMWR_RATING_RO_ROLLUP[#Headers],0)),"ERROR"))</f>
        <v>128.89343629339999</v>
      </c>
      <c r="E17" s="159">
        <f>IF($B17=" ","",IFERROR(INDEX(MMWR_RATING_RO_ROLLUP[],MATCH($B17,MMWR_RATING_RO_ROLLUP[MMWR_RATING_RO_ROLLUP],0),MATCH(E$9,MMWR_RATING_RO_ROLLUP[#Headers],0))/$C17,"ERROR"))</f>
        <v>0.346975546975547</v>
      </c>
      <c r="F17" s="157">
        <f>IF($B17=" ","",IFERROR(INDEX(MMWR_RATING_RO_ROLLUP[],MATCH($B17,MMWR_RATING_RO_ROLLUP[MMWR_RATING_RO_ROLLUP],0),MATCH(F$9,MMWR_RATING_RO_ROLLUP[#Headers],0)),"ERROR"))</f>
        <v>624</v>
      </c>
      <c r="G17" s="157">
        <f>IF($B17=" ","",IFERROR(INDEX(MMWR_RATING_RO_ROLLUP[],MATCH($B17,MMWR_RATING_RO_ROLLUP[MMWR_RATING_RO_ROLLUP],0),MATCH(G$9,MMWR_RATING_RO_ROLLUP[#Headers],0)),"ERROR"))</f>
        <v>8828</v>
      </c>
      <c r="H17" s="158">
        <f>IF($B17=" ","",IFERROR(INDEX(MMWR_RATING_RO_ROLLUP[],MATCH($B17,MMWR_RATING_RO_ROLLUP[MMWR_RATING_RO_ROLLUP],0),MATCH(H$9,MMWR_RATING_RO_ROLLUP[#Headers],0)),"ERROR"))</f>
        <v>226.12179487180001</v>
      </c>
      <c r="I17" s="158">
        <f>IF($B17=" ","",IFERROR(INDEX(MMWR_RATING_RO_ROLLUP[],MATCH($B17,MMWR_RATING_RO_ROLLUP[MMWR_RATING_RO_ROLLUP],0),MATCH(I$9,MMWR_RATING_RO_ROLLUP[#Headers],0)),"ERROR"))</f>
        <v>224.3043724513</v>
      </c>
      <c r="J17" s="42"/>
      <c r="K17" s="42"/>
      <c r="L17" s="42"/>
      <c r="M17" s="42"/>
      <c r="N17" s="28"/>
    </row>
    <row r="18" spans="1:14" x14ac:dyDescent="0.2">
      <c r="A18" s="25"/>
      <c r="B18" s="8" t="str">
        <f>VLOOKUP($B$15,DISTRICT_RO[],4,0)</f>
        <v>Buffalo VSC</v>
      </c>
      <c r="C18" s="157">
        <f>IF($B18=" ","",IFERROR(INDEX(MMWR_RATING_RO_ROLLUP[],MATCH($B18,MMWR_RATING_RO_ROLLUP[MMWR_RATING_RO_ROLLUP],0),MATCH(C$9,MMWR_RATING_RO_ROLLUP[#Headers],0)),"ERROR"))</f>
        <v>4884</v>
      </c>
      <c r="D18" s="158">
        <f>IF($B18=" ","",IFERROR(INDEX(MMWR_RATING_RO_ROLLUP[],MATCH($B18,MMWR_RATING_RO_ROLLUP[MMWR_RATING_RO_ROLLUP],0),MATCH(D$9,MMWR_RATING_RO_ROLLUP[#Headers],0)),"ERROR"))</f>
        <v>125.35032760030001</v>
      </c>
      <c r="E18" s="159">
        <f>IF($B18=" ","",IFERROR(INDEX(MMWR_RATING_RO_ROLLUP[],MATCH($B18,MMWR_RATING_RO_ROLLUP[MMWR_RATING_RO_ROLLUP],0),MATCH(E$9,MMWR_RATING_RO_ROLLUP[#Headers],0))/$C18,"ERROR"))</f>
        <v>0.3585176085176085</v>
      </c>
      <c r="F18" s="157">
        <f>IF($B18=" ","",IFERROR(INDEX(MMWR_RATING_RO_ROLLUP[],MATCH($B18,MMWR_RATING_RO_ROLLUP[MMWR_RATING_RO_ROLLUP],0),MATCH(F$9,MMWR_RATING_RO_ROLLUP[#Headers],0)),"ERROR"))</f>
        <v>1009</v>
      </c>
      <c r="G18" s="157">
        <f>IF($B18=" ","",IFERROR(INDEX(MMWR_RATING_RO_ROLLUP[],MATCH($B18,MMWR_RATING_RO_ROLLUP[MMWR_RATING_RO_ROLLUP],0),MATCH(G$9,MMWR_RATING_RO_ROLLUP[#Headers],0)),"ERROR"))</f>
        <v>9565</v>
      </c>
      <c r="H18" s="158">
        <f>IF($B18=" ","",IFERROR(INDEX(MMWR_RATING_RO_ROLLUP[],MATCH($B18,MMWR_RATING_RO_ROLLUP[MMWR_RATING_RO_ROLLUP],0),MATCH(H$9,MMWR_RATING_RO_ROLLUP[#Headers],0)),"ERROR"))</f>
        <v>181.56095143709999</v>
      </c>
      <c r="I18" s="158">
        <f>IF($B18=" ","",IFERROR(INDEX(MMWR_RATING_RO_ROLLUP[],MATCH($B18,MMWR_RATING_RO_ROLLUP[MMWR_RATING_RO_ROLLUP],0),MATCH(I$9,MMWR_RATING_RO_ROLLUP[#Headers],0)),"ERROR"))</f>
        <v>216.93727130159999</v>
      </c>
      <c r="J18" s="42"/>
      <c r="K18" s="42"/>
      <c r="L18" s="42"/>
      <c r="M18" s="42"/>
      <c r="N18" s="28"/>
    </row>
    <row r="19" spans="1:14" x14ac:dyDescent="0.2">
      <c r="A19" s="25"/>
      <c r="B19" s="8" t="str">
        <f>VLOOKUP($B$15,DISTRICT_RO[],5,0)</f>
        <v>Hartford VSC</v>
      </c>
      <c r="C19" s="157">
        <f>IF($B19=" ","",IFERROR(INDEX(MMWR_RATING_RO_ROLLUP[],MATCH($B19,MMWR_RATING_RO_ROLLUP[MMWR_RATING_RO_ROLLUP],0),MATCH(C$9,MMWR_RATING_RO_ROLLUP[#Headers],0)),"ERROR"))</f>
        <v>1974</v>
      </c>
      <c r="D19" s="158">
        <f>IF($B19=" ","",IFERROR(INDEX(MMWR_RATING_RO_ROLLUP[],MATCH($B19,MMWR_RATING_RO_ROLLUP[MMWR_RATING_RO_ROLLUP],0),MATCH(D$9,MMWR_RATING_RO_ROLLUP[#Headers],0)),"ERROR"))</f>
        <v>96.008105369800006</v>
      </c>
      <c r="E19" s="159">
        <f>IF($B19=" ","",IFERROR(INDEX(MMWR_RATING_RO_ROLLUP[],MATCH($B19,MMWR_RATING_RO_ROLLUP[MMWR_RATING_RO_ROLLUP],0),MATCH(E$9,MMWR_RATING_RO_ROLLUP[#Headers],0))/$C19,"ERROR"))</f>
        <v>0.26038500506585616</v>
      </c>
      <c r="F19" s="157">
        <f>IF($B19=" ","",IFERROR(INDEX(MMWR_RATING_RO_ROLLUP[],MATCH($B19,MMWR_RATING_RO_ROLLUP[MMWR_RATING_RO_ROLLUP],0),MATCH(F$9,MMWR_RATING_RO_ROLLUP[#Headers],0)),"ERROR"))</f>
        <v>298</v>
      </c>
      <c r="G19" s="157">
        <f>IF($B19=" ","",IFERROR(INDEX(MMWR_RATING_RO_ROLLUP[],MATCH($B19,MMWR_RATING_RO_ROLLUP[MMWR_RATING_RO_ROLLUP],0),MATCH(G$9,MMWR_RATING_RO_ROLLUP[#Headers],0)),"ERROR"))</f>
        <v>4692</v>
      </c>
      <c r="H19" s="158">
        <f>IF($B19=" ","",IFERROR(INDEX(MMWR_RATING_RO_ROLLUP[],MATCH($B19,MMWR_RATING_RO_ROLLUP[MMWR_RATING_RO_ROLLUP],0),MATCH(H$9,MMWR_RATING_RO_ROLLUP[#Headers],0)),"ERROR"))</f>
        <v>144.52348993289999</v>
      </c>
      <c r="I19" s="158">
        <f>IF($B19=" ","",IFERROR(INDEX(MMWR_RATING_RO_ROLLUP[],MATCH($B19,MMWR_RATING_RO_ROLLUP[MMWR_RATING_RO_ROLLUP],0),MATCH(I$9,MMWR_RATING_RO_ROLLUP[#Headers],0)),"ERROR"))</f>
        <v>154.0095907928</v>
      </c>
      <c r="J19" s="42"/>
      <c r="K19" s="42"/>
      <c r="L19" s="42"/>
      <c r="M19" s="42"/>
      <c r="N19" s="28"/>
    </row>
    <row r="20" spans="1:14" x14ac:dyDescent="0.2">
      <c r="A20" s="25"/>
      <c r="B20" s="8" t="str">
        <f>VLOOKUP($B$15,DISTRICT_RO[],6,0)</f>
        <v>Huntington VSC</v>
      </c>
      <c r="C20" s="157">
        <f>IF($B20=" ","",IFERROR(INDEX(MMWR_RATING_RO_ROLLUP[],MATCH($B20,MMWR_RATING_RO_ROLLUP[MMWR_RATING_RO_ROLLUP],0),MATCH(C$9,MMWR_RATING_RO_ROLLUP[#Headers],0)),"ERROR"))</f>
        <v>2844</v>
      </c>
      <c r="D20" s="158">
        <f>IF($B20=" ","",IFERROR(INDEX(MMWR_RATING_RO_ROLLUP[],MATCH($B20,MMWR_RATING_RO_ROLLUP[MMWR_RATING_RO_ROLLUP],0),MATCH(D$9,MMWR_RATING_RO_ROLLUP[#Headers],0)),"ERROR"))</f>
        <v>94.4599156118</v>
      </c>
      <c r="E20" s="159">
        <f>IF($B20=" ","",IFERROR(INDEX(MMWR_RATING_RO_ROLLUP[],MATCH($B20,MMWR_RATING_RO_ROLLUP[MMWR_RATING_RO_ROLLUP],0),MATCH(E$9,MMWR_RATING_RO_ROLLUP[#Headers],0))/$C20,"ERROR"))</f>
        <v>0.26054852320675104</v>
      </c>
      <c r="F20" s="157">
        <f>IF($B20=" ","",IFERROR(INDEX(MMWR_RATING_RO_ROLLUP[],MATCH($B20,MMWR_RATING_RO_ROLLUP[MMWR_RATING_RO_ROLLUP],0),MATCH(F$9,MMWR_RATING_RO_ROLLUP[#Headers],0)),"ERROR"))</f>
        <v>641</v>
      </c>
      <c r="G20" s="157">
        <f>IF($B20=" ","",IFERROR(INDEX(MMWR_RATING_RO_ROLLUP[],MATCH($B20,MMWR_RATING_RO_ROLLUP[MMWR_RATING_RO_ROLLUP],0),MATCH(G$9,MMWR_RATING_RO_ROLLUP[#Headers],0)),"ERROR"))</f>
        <v>6445</v>
      </c>
      <c r="H20" s="158">
        <f>IF($B20=" ","",IFERROR(INDEX(MMWR_RATING_RO_ROLLUP[],MATCH($B20,MMWR_RATING_RO_ROLLUP[MMWR_RATING_RO_ROLLUP],0),MATCH(H$9,MMWR_RATING_RO_ROLLUP[#Headers],0)),"ERROR"))</f>
        <v>133.67706708270001</v>
      </c>
      <c r="I20" s="158">
        <f>IF($B20=" ","",IFERROR(INDEX(MMWR_RATING_RO_ROLLUP[],MATCH($B20,MMWR_RATING_RO_ROLLUP[MMWR_RATING_RO_ROLLUP],0),MATCH(I$9,MMWR_RATING_RO_ROLLUP[#Headers],0)),"ERROR"))</f>
        <v>147.89371605900001</v>
      </c>
      <c r="J20" s="42"/>
      <c r="K20" s="42"/>
      <c r="L20" s="42"/>
      <c r="M20" s="42"/>
      <c r="N20" s="28"/>
    </row>
    <row r="21" spans="1:14" x14ac:dyDescent="0.2">
      <c r="A21" s="25"/>
      <c r="B21" s="8" t="str">
        <f>VLOOKUP($B$15,DISTRICT_RO[],7,0)</f>
        <v>Manchester VSC</v>
      </c>
      <c r="C21" s="157">
        <f>IF($B21=" ","",IFERROR(INDEX(MMWR_RATING_RO_ROLLUP[],MATCH($B21,MMWR_RATING_RO_ROLLUP[MMWR_RATING_RO_ROLLUP],0),MATCH(C$9,MMWR_RATING_RO_ROLLUP[#Headers],0)),"ERROR"))</f>
        <v>1347</v>
      </c>
      <c r="D21" s="158">
        <f>IF($B21=" ","",IFERROR(INDEX(MMWR_RATING_RO_ROLLUP[],MATCH($B21,MMWR_RATING_RO_ROLLUP[MMWR_RATING_RO_ROLLUP],0),MATCH(D$9,MMWR_RATING_RO_ROLLUP[#Headers],0)),"ERROR"))</f>
        <v>105.273199703</v>
      </c>
      <c r="E21" s="159">
        <f>IF($B21=" ","",IFERROR(INDEX(MMWR_RATING_RO_ROLLUP[],MATCH($B21,MMWR_RATING_RO_ROLLUP[MMWR_RATING_RO_ROLLUP],0),MATCH(E$9,MMWR_RATING_RO_ROLLUP[#Headers],0))/$C21,"ERROR"))</f>
        <v>0.24350408314773572</v>
      </c>
      <c r="F21" s="157">
        <f>IF($B21=" ","",IFERROR(INDEX(MMWR_RATING_RO_ROLLUP[],MATCH($B21,MMWR_RATING_RO_ROLLUP[MMWR_RATING_RO_ROLLUP],0),MATCH(F$9,MMWR_RATING_RO_ROLLUP[#Headers],0)),"ERROR"))</f>
        <v>256</v>
      </c>
      <c r="G21" s="157">
        <f>IF($B21=" ","",IFERROR(INDEX(MMWR_RATING_RO_ROLLUP[],MATCH($B21,MMWR_RATING_RO_ROLLUP[MMWR_RATING_RO_ROLLUP],0),MATCH(G$9,MMWR_RATING_RO_ROLLUP[#Headers],0)),"ERROR"))</f>
        <v>2865</v>
      </c>
      <c r="H21" s="158">
        <f>IF($B21=" ","",IFERROR(INDEX(MMWR_RATING_RO_ROLLUP[],MATCH($B21,MMWR_RATING_RO_ROLLUP[MMWR_RATING_RO_ROLLUP],0),MATCH(H$9,MMWR_RATING_RO_ROLLUP[#Headers],0)),"ERROR"))</f>
        <v>158.765625</v>
      </c>
      <c r="I21" s="158">
        <f>IF($B21=" ","",IFERROR(INDEX(MMWR_RATING_RO_ROLLUP[],MATCH($B21,MMWR_RATING_RO_ROLLUP[MMWR_RATING_RO_ROLLUP],0),MATCH(I$9,MMWR_RATING_RO_ROLLUP[#Headers],0)),"ERROR"))</f>
        <v>182.4523560209</v>
      </c>
      <c r="J21" s="42"/>
      <c r="K21" s="42"/>
      <c r="L21" s="42"/>
      <c r="M21" s="42"/>
      <c r="N21" s="28"/>
    </row>
    <row r="22" spans="1:14" x14ac:dyDescent="0.2">
      <c r="A22" s="25"/>
      <c r="B22" s="8" t="str">
        <f>VLOOKUP($B$15,DISTRICT_RO[],8,0)</f>
        <v>New York VSC</v>
      </c>
      <c r="C22" s="157">
        <f>IF($B22=" ","",IFERROR(INDEX(MMWR_RATING_RO_ROLLUP[],MATCH($B22,MMWR_RATING_RO_ROLLUP[MMWR_RATING_RO_ROLLUP],0),MATCH(C$9,MMWR_RATING_RO_ROLLUP[#Headers],0)),"ERROR"))</f>
        <v>5063</v>
      </c>
      <c r="D22" s="158">
        <f>IF($B22=" ","",IFERROR(INDEX(MMWR_RATING_RO_ROLLUP[],MATCH($B22,MMWR_RATING_RO_ROLLUP[MMWR_RATING_RO_ROLLUP],0),MATCH(D$9,MMWR_RATING_RO_ROLLUP[#Headers],0)),"ERROR"))</f>
        <v>138.91428007109999</v>
      </c>
      <c r="E22" s="159">
        <f>IF($B22=" ","",IFERROR(INDEX(MMWR_RATING_RO_ROLLUP[],MATCH($B22,MMWR_RATING_RO_ROLLUP[MMWR_RATING_RO_ROLLUP],0),MATCH(E$9,MMWR_RATING_RO_ROLLUP[#Headers],0))/$C22,"ERROR"))</f>
        <v>0.42346434920007903</v>
      </c>
      <c r="F22" s="157">
        <f>IF($B22=" ","",IFERROR(INDEX(MMWR_RATING_RO_ROLLUP[],MATCH($B22,MMWR_RATING_RO_ROLLUP[MMWR_RATING_RO_ROLLUP],0),MATCH(F$9,MMWR_RATING_RO_ROLLUP[#Headers],0)),"ERROR"))</f>
        <v>1263</v>
      </c>
      <c r="G22" s="157">
        <f>IF($B22=" ","",IFERROR(INDEX(MMWR_RATING_RO_ROLLUP[],MATCH($B22,MMWR_RATING_RO_ROLLUP[MMWR_RATING_RO_ROLLUP],0),MATCH(G$9,MMWR_RATING_RO_ROLLUP[#Headers],0)),"ERROR"))</f>
        <v>12095</v>
      </c>
      <c r="H22" s="158">
        <f>IF($B22=" ","",IFERROR(INDEX(MMWR_RATING_RO_ROLLUP[],MATCH($B22,MMWR_RATING_RO_ROLLUP[MMWR_RATING_RO_ROLLUP],0),MATCH(H$9,MMWR_RATING_RO_ROLLUP[#Headers],0)),"ERROR"))</f>
        <v>190.13064133020001</v>
      </c>
      <c r="I22" s="158">
        <f>IF($B22=" ","",IFERROR(INDEX(MMWR_RATING_RO_ROLLUP[],MATCH($B22,MMWR_RATING_RO_ROLLUP[MMWR_RATING_RO_ROLLUP],0),MATCH(I$9,MMWR_RATING_RO_ROLLUP[#Headers],0)),"ERROR"))</f>
        <v>211.34105002070001</v>
      </c>
      <c r="J22" s="42"/>
      <c r="K22" s="42"/>
      <c r="L22" s="42"/>
      <c r="M22" s="42"/>
      <c r="N22" s="28"/>
    </row>
    <row r="23" spans="1:14" x14ac:dyDescent="0.2">
      <c r="A23" s="25"/>
      <c r="B23" s="8" t="str">
        <f>VLOOKUP($B$15,DISTRICT_RO[],9,0)</f>
        <v>Newark VSC</v>
      </c>
      <c r="C23" s="157">
        <f>IF($B23=" ","",IFERROR(INDEX(MMWR_RATING_RO_ROLLUP[],MATCH($B23,MMWR_RATING_RO_ROLLUP[MMWR_RATING_RO_ROLLUP],0),MATCH(C$9,MMWR_RATING_RO_ROLLUP[#Headers],0)),"ERROR"))</f>
        <v>2817</v>
      </c>
      <c r="D23" s="158">
        <f>IF($B23=" ","",IFERROR(INDEX(MMWR_RATING_RO_ROLLUP[],MATCH($B23,MMWR_RATING_RO_ROLLUP[MMWR_RATING_RO_ROLLUP],0),MATCH(D$9,MMWR_RATING_RO_ROLLUP[#Headers],0)),"ERROR"))</f>
        <v>113.3624423145</v>
      </c>
      <c r="E23" s="159">
        <f>IF($B23=" ","",IFERROR(INDEX(MMWR_RATING_RO_ROLLUP[],MATCH($B23,MMWR_RATING_RO_ROLLUP[MMWR_RATING_RO_ROLLUP],0),MATCH(E$9,MMWR_RATING_RO_ROLLUP[#Headers],0))/$C23,"ERROR"))</f>
        <v>0.34646787362442316</v>
      </c>
      <c r="F23" s="157">
        <f>IF($B23=" ","",IFERROR(INDEX(MMWR_RATING_RO_ROLLUP[],MATCH($B23,MMWR_RATING_RO_ROLLUP[MMWR_RATING_RO_ROLLUP],0),MATCH(F$9,MMWR_RATING_RO_ROLLUP[#Headers],0)),"ERROR"))</f>
        <v>388</v>
      </c>
      <c r="G23" s="157">
        <f>IF($B23=" ","",IFERROR(INDEX(MMWR_RATING_RO_ROLLUP[],MATCH($B23,MMWR_RATING_RO_ROLLUP[MMWR_RATING_RO_ROLLUP],0),MATCH(G$9,MMWR_RATING_RO_ROLLUP[#Headers],0)),"ERROR"))</f>
        <v>5244</v>
      </c>
      <c r="H23" s="158">
        <f>IF($B23=" ","",IFERROR(INDEX(MMWR_RATING_RO_ROLLUP[],MATCH($B23,MMWR_RATING_RO_ROLLUP[MMWR_RATING_RO_ROLLUP],0),MATCH(H$9,MMWR_RATING_RO_ROLLUP[#Headers],0)),"ERROR"))</f>
        <v>178.62886597939999</v>
      </c>
      <c r="I23" s="158">
        <f>IF($B23=" ","",IFERROR(INDEX(MMWR_RATING_RO_ROLLUP[],MATCH($B23,MMWR_RATING_RO_ROLLUP[MMWR_RATING_RO_ROLLUP],0),MATCH(I$9,MMWR_RATING_RO_ROLLUP[#Headers],0)),"ERROR"))</f>
        <v>167.6481693364</v>
      </c>
      <c r="J23" s="42"/>
      <c r="K23" s="42"/>
      <c r="L23" s="42"/>
      <c r="M23" s="42"/>
      <c r="N23" s="28"/>
    </row>
    <row r="24" spans="1:14" x14ac:dyDescent="0.2">
      <c r="A24" s="25"/>
      <c r="B24" s="8" t="str">
        <f>VLOOKUP($B$15,DISTRICT_RO[],10,0)</f>
        <v>Philadelphia VSC</v>
      </c>
      <c r="C24" s="157">
        <f>IF($B24=" ","",IFERROR(INDEX(MMWR_RATING_RO_ROLLUP[],MATCH($B24,MMWR_RATING_RO_ROLLUP[MMWR_RATING_RO_ROLLUP],0),MATCH(C$9,MMWR_RATING_RO_ROLLUP[#Headers],0)),"ERROR"))</f>
        <v>8459</v>
      </c>
      <c r="D24" s="158">
        <f>IF($B24=" ","",IFERROR(INDEX(MMWR_RATING_RO_ROLLUP[],MATCH($B24,MMWR_RATING_RO_ROLLUP[MMWR_RATING_RO_ROLLUP],0),MATCH(D$9,MMWR_RATING_RO_ROLLUP[#Headers],0)),"ERROR"))</f>
        <v>143.6069275328</v>
      </c>
      <c r="E24" s="159">
        <f>IF($B24=" ","",IFERROR(INDEX(MMWR_RATING_RO_ROLLUP[],MATCH($B24,MMWR_RATING_RO_ROLLUP[MMWR_RATING_RO_ROLLUP],0),MATCH(E$9,MMWR_RATING_RO_ROLLUP[#Headers],0))/$C24,"ERROR"))</f>
        <v>0.425345785553848</v>
      </c>
      <c r="F24" s="157">
        <f>IF($B24=" ","",IFERROR(INDEX(MMWR_RATING_RO_ROLLUP[],MATCH($B24,MMWR_RATING_RO_ROLLUP[MMWR_RATING_RO_ROLLUP],0),MATCH(F$9,MMWR_RATING_RO_ROLLUP[#Headers],0)),"ERROR"))</f>
        <v>1587</v>
      </c>
      <c r="G24" s="157">
        <f>IF($B24=" ","",IFERROR(INDEX(MMWR_RATING_RO_ROLLUP[],MATCH($B24,MMWR_RATING_RO_ROLLUP[MMWR_RATING_RO_ROLLUP],0),MATCH(G$9,MMWR_RATING_RO_ROLLUP[#Headers],0)),"ERROR"))</f>
        <v>21849</v>
      </c>
      <c r="H24" s="158">
        <f>IF($B24=" ","",IFERROR(INDEX(MMWR_RATING_RO_ROLLUP[],MATCH($B24,MMWR_RATING_RO_ROLLUP[MMWR_RATING_RO_ROLLUP],0),MATCH(H$9,MMWR_RATING_RO_ROLLUP[#Headers],0)),"ERROR"))</f>
        <v>211.7996219282</v>
      </c>
      <c r="I24" s="158">
        <f>IF($B24=" ","",IFERROR(INDEX(MMWR_RATING_RO_ROLLUP[],MATCH($B24,MMWR_RATING_RO_ROLLUP[MMWR_RATING_RO_ROLLUP],0),MATCH(I$9,MMWR_RATING_RO_ROLLUP[#Headers],0)),"ERROR"))</f>
        <v>237.86328893769999</v>
      </c>
      <c r="J24" s="42"/>
      <c r="K24" s="42"/>
      <c r="L24" s="42"/>
      <c r="M24" s="42"/>
      <c r="N24" s="28"/>
    </row>
    <row r="25" spans="1:14" x14ac:dyDescent="0.2">
      <c r="A25" s="25"/>
      <c r="B25" s="8" t="str">
        <f>VLOOKUP($B$15,DISTRICT_RO[],11,0)</f>
        <v>Pittsburgh VSC</v>
      </c>
      <c r="C25" s="157">
        <f>IF($B25=" ","",IFERROR(INDEX(MMWR_RATING_RO_ROLLUP[],MATCH($B25,MMWR_RATING_RO_ROLLUP[MMWR_RATING_RO_ROLLUP],0),MATCH(C$9,MMWR_RATING_RO_ROLLUP[#Headers],0)),"ERROR"))</f>
        <v>4648</v>
      </c>
      <c r="D25" s="158">
        <f>IF($B25=" ","",IFERROR(INDEX(MMWR_RATING_RO_ROLLUP[],MATCH($B25,MMWR_RATING_RO_ROLLUP[MMWR_RATING_RO_ROLLUP],0),MATCH(D$9,MMWR_RATING_RO_ROLLUP[#Headers],0)),"ERROR"))</f>
        <v>148.3694061962</v>
      </c>
      <c r="E25" s="159">
        <f>IF($B25=" ","",IFERROR(INDEX(MMWR_RATING_RO_ROLLUP[],MATCH($B25,MMWR_RATING_RO_ROLLUP[MMWR_RATING_RO_ROLLUP],0),MATCH(E$9,MMWR_RATING_RO_ROLLUP[#Headers],0))/$C25,"ERROR"))</f>
        <v>0.4132960413080895</v>
      </c>
      <c r="F25" s="157">
        <f>IF($B25=" ","",IFERROR(INDEX(MMWR_RATING_RO_ROLLUP[],MATCH($B25,MMWR_RATING_RO_ROLLUP[MMWR_RATING_RO_ROLLUP],0),MATCH(F$9,MMWR_RATING_RO_ROLLUP[#Headers],0)),"ERROR"))</f>
        <v>784</v>
      </c>
      <c r="G25" s="157">
        <f>IF($B25=" ","",IFERROR(INDEX(MMWR_RATING_RO_ROLLUP[],MATCH($B25,MMWR_RATING_RO_ROLLUP[MMWR_RATING_RO_ROLLUP],0),MATCH(G$9,MMWR_RATING_RO_ROLLUP[#Headers],0)),"ERROR"))</f>
        <v>9997</v>
      </c>
      <c r="H25" s="158">
        <f>IF($B25=" ","",IFERROR(INDEX(MMWR_RATING_RO_ROLLUP[],MATCH($B25,MMWR_RATING_RO_ROLLUP[MMWR_RATING_RO_ROLLUP],0),MATCH(H$9,MMWR_RATING_RO_ROLLUP[#Headers],0)),"ERROR"))</f>
        <v>178.2946428571</v>
      </c>
      <c r="I25" s="158">
        <f>IF($B25=" ","",IFERROR(INDEX(MMWR_RATING_RO_ROLLUP[],MATCH($B25,MMWR_RATING_RO_ROLLUP[MMWR_RATING_RO_ROLLUP],0),MATCH(I$9,MMWR_RATING_RO_ROLLUP[#Headers],0)),"ERROR"))</f>
        <v>211.66629989</v>
      </c>
      <c r="J25" s="42"/>
      <c r="K25" s="42"/>
      <c r="L25" s="42"/>
      <c r="M25" s="42"/>
      <c r="N25" s="28"/>
    </row>
    <row r="26" spans="1:14" x14ac:dyDescent="0.2">
      <c r="A26" s="25"/>
      <c r="B26" s="8" t="str">
        <f>VLOOKUP($B$15,DISTRICT_RO[],12,0)</f>
        <v>Providence VSC</v>
      </c>
      <c r="C26" s="157">
        <f>IF($B26=" ","",IFERROR(INDEX(MMWR_RATING_RO_ROLLUP[],MATCH($B26,MMWR_RATING_RO_ROLLUP[MMWR_RATING_RO_ROLLUP],0),MATCH(C$9,MMWR_RATING_RO_ROLLUP[#Headers],0)),"ERROR"))</f>
        <v>2182</v>
      </c>
      <c r="D26" s="158">
        <f>IF($B26=" ","",IFERROR(INDEX(MMWR_RATING_RO_ROLLUP[],MATCH($B26,MMWR_RATING_RO_ROLLUP[MMWR_RATING_RO_ROLLUP],0),MATCH(D$9,MMWR_RATING_RO_ROLLUP[#Headers],0)),"ERROR"))</f>
        <v>86.154903758000003</v>
      </c>
      <c r="E26" s="159">
        <f>IF($B26=" ","",IFERROR(INDEX(MMWR_RATING_RO_ROLLUP[],MATCH($B26,MMWR_RATING_RO_ROLLUP[MMWR_RATING_RO_ROLLUP],0),MATCH(E$9,MMWR_RATING_RO_ROLLUP[#Headers],0))/$C26,"ERROR"))</f>
        <v>0.21906507791017416</v>
      </c>
      <c r="F26" s="157">
        <f>IF($B26=" ","",IFERROR(INDEX(MMWR_RATING_RO_ROLLUP[],MATCH($B26,MMWR_RATING_RO_ROLLUP[MMWR_RATING_RO_ROLLUP],0),MATCH(F$9,MMWR_RATING_RO_ROLLUP[#Headers],0)),"ERROR"))</f>
        <v>1287</v>
      </c>
      <c r="G26" s="157">
        <f>IF($B26=" ","",IFERROR(INDEX(MMWR_RATING_RO_ROLLUP[],MATCH($B26,MMWR_RATING_RO_ROLLUP[MMWR_RATING_RO_ROLLUP],0),MATCH(G$9,MMWR_RATING_RO_ROLLUP[#Headers],0)),"ERROR"))</f>
        <v>17646</v>
      </c>
      <c r="H26" s="158">
        <f>IF($B26=" ","",IFERROR(INDEX(MMWR_RATING_RO_ROLLUP[],MATCH($B26,MMWR_RATING_RO_ROLLUP[MMWR_RATING_RO_ROLLUP],0),MATCH(H$9,MMWR_RATING_RO_ROLLUP[#Headers],0)),"ERROR"))</f>
        <v>43.939393939399999</v>
      </c>
      <c r="I26" s="158">
        <f>IF($B26=" ","",IFERROR(INDEX(MMWR_RATING_RO_ROLLUP[],MATCH($B26,MMWR_RATING_RO_ROLLUP[MMWR_RATING_RO_ROLLUP],0),MATCH(I$9,MMWR_RATING_RO_ROLLUP[#Headers],0)),"ERROR"))</f>
        <v>56.821489289399999</v>
      </c>
      <c r="J26" s="42"/>
      <c r="K26" s="42"/>
      <c r="L26" s="42"/>
      <c r="M26" s="42"/>
      <c r="N26" s="28"/>
    </row>
    <row r="27" spans="1:14" x14ac:dyDescent="0.2">
      <c r="A27" s="25"/>
      <c r="B27" s="8" t="str">
        <f>VLOOKUP($B$15,DISTRICT_RO[],13,0)</f>
        <v>Roanoke VSC</v>
      </c>
      <c r="C27" s="157">
        <f>IF($B27=" ","",IFERROR(INDEX(MMWR_RATING_RO_ROLLUP[],MATCH($B27,MMWR_RATING_RO_ROLLUP[MMWR_RATING_RO_ROLLUP],0),MATCH(C$9,MMWR_RATING_RO_ROLLUP[#Headers],0)),"ERROR"))</f>
        <v>12045</v>
      </c>
      <c r="D27" s="158">
        <f>IF($B27=" ","",IFERROR(INDEX(MMWR_RATING_RO_ROLLUP[],MATCH($B27,MMWR_RATING_RO_ROLLUP[MMWR_RATING_RO_ROLLUP],0),MATCH(D$9,MMWR_RATING_RO_ROLLUP[#Headers],0)),"ERROR"))</f>
        <v>123.2420921544</v>
      </c>
      <c r="E27" s="159">
        <f>IF($B27=" ","",IFERROR(INDEX(MMWR_RATING_RO_ROLLUP[],MATCH($B27,MMWR_RATING_RO_ROLLUP[MMWR_RATING_RO_ROLLUP],0),MATCH(E$9,MMWR_RATING_RO_ROLLUP[#Headers],0))/$C27,"ERROR"))</f>
        <v>0.36413449564134498</v>
      </c>
      <c r="F27" s="157">
        <f>IF($B27=" ","",IFERROR(INDEX(MMWR_RATING_RO_ROLLUP[],MATCH($B27,MMWR_RATING_RO_ROLLUP[MMWR_RATING_RO_ROLLUP],0),MATCH(F$9,MMWR_RATING_RO_ROLLUP[#Headers],0)),"ERROR"))</f>
        <v>2238</v>
      </c>
      <c r="G27" s="157">
        <f>IF($B27=" ","",IFERROR(INDEX(MMWR_RATING_RO_ROLLUP[],MATCH($B27,MMWR_RATING_RO_ROLLUP[MMWR_RATING_RO_ROLLUP],0),MATCH(G$9,MMWR_RATING_RO_ROLLUP[#Headers],0)),"ERROR"))</f>
        <v>28109</v>
      </c>
      <c r="H27" s="158">
        <f>IF($B27=" ","",IFERROR(INDEX(MMWR_RATING_RO_ROLLUP[],MATCH($B27,MMWR_RATING_RO_ROLLUP[MMWR_RATING_RO_ROLLUP],0),MATCH(H$9,MMWR_RATING_RO_ROLLUP[#Headers],0)),"ERROR"))</f>
        <v>174.46425379799999</v>
      </c>
      <c r="I27" s="158">
        <f>IF($B27=" ","",IFERROR(INDEX(MMWR_RATING_RO_ROLLUP[],MATCH($B27,MMWR_RATING_RO_ROLLUP[MMWR_RATING_RO_ROLLUP],0),MATCH(I$9,MMWR_RATING_RO_ROLLUP[#Headers],0)),"ERROR"))</f>
        <v>217.32569639619999</v>
      </c>
      <c r="J27" s="42"/>
      <c r="K27" s="42"/>
      <c r="L27" s="42"/>
      <c r="M27" s="42"/>
      <c r="N27" s="28"/>
    </row>
    <row r="28" spans="1:14" x14ac:dyDescent="0.2">
      <c r="A28" s="25"/>
      <c r="B28" s="8" t="str">
        <f>VLOOKUP($B$15,DISTRICT_RO[],14,0)</f>
        <v>Togus VSC</v>
      </c>
      <c r="C28" s="157">
        <f>IF($B28=" ","",IFERROR(INDEX(MMWR_RATING_RO_ROLLUP[],MATCH($B28,MMWR_RATING_RO_ROLLUP[MMWR_RATING_RO_ROLLUP],0),MATCH(C$9,MMWR_RATING_RO_ROLLUP[#Headers],0)),"ERROR"))</f>
        <v>1282</v>
      </c>
      <c r="D28" s="158">
        <f>IF($B28=" ","",IFERROR(INDEX(MMWR_RATING_RO_ROLLUP[],MATCH($B28,MMWR_RATING_RO_ROLLUP[MMWR_RATING_RO_ROLLUP],0),MATCH(D$9,MMWR_RATING_RO_ROLLUP[#Headers],0)),"ERROR"))</f>
        <v>97.556162246499994</v>
      </c>
      <c r="E28" s="159">
        <f>IF($B28=" ","",IFERROR(INDEX(MMWR_RATING_RO_ROLLUP[],MATCH($B28,MMWR_RATING_RO_ROLLUP[MMWR_RATING_RO_ROLLUP],0),MATCH(E$9,MMWR_RATING_RO_ROLLUP[#Headers],0))/$C28,"ERROR"))</f>
        <v>0.22386895475819032</v>
      </c>
      <c r="F28" s="157">
        <f>IF($B28=" ","",IFERROR(INDEX(MMWR_RATING_RO_ROLLUP[],MATCH($B28,MMWR_RATING_RO_ROLLUP[MMWR_RATING_RO_ROLLUP],0),MATCH(F$9,MMWR_RATING_RO_ROLLUP[#Headers],0)),"ERROR"))</f>
        <v>233</v>
      </c>
      <c r="G28" s="157">
        <f>IF($B28=" ","",IFERROR(INDEX(MMWR_RATING_RO_ROLLUP[],MATCH($B28,MMWR_RATING_RO_ROLLUP[MMWR_RATING_RO_ROLLUP],0),MATCH(G$9,MMWR_RATING_RO_ROLLUP[#Headers],0)),"ERROR"))</f>
        <v>3223</v>
      </c>
      <c r="H28" s="158">
        <f>IF($B28=" ","",IFERROR(INDEX(MMWR_RATING_RO_ROLLUP[],MATCH($B28,MMWR_RATING_RO_ROLLUP[MMWR_RATING_RO_ROLLUP],0),MATCH(H$9,MMWR_RATING_RO_ROLLUP[#Headers],0)),"ERROR"))</f>
        <v>167.5321888412</v>
      </c>
      <c r="I28" s="158">
        <f>IF($B28=" ","",IFERROR(INDEX(MMWR_RATING_RO_ROLLUP[],MATCH($B28,MMWR_RATING_RO_ROLLUP[MMWR_RATING_RO_ROLLUP],0),MATCH(I$9,MMWR_RATING_RO_ROLLUP[#Headers],0)),"ERROR"))</f>
        <v>126.3794601303</v>
      </c>
      <c r="J28" s="42"/>
      <c r="K28" s="42"/>
      <c r="L28" s="42"/>
      <c r="M28" s="42"/>
      <c r="N28" s="28"/>
    </row>
    <row r="29" spans="1:14" x14ac:dyDescent="0.2">
      <c r="A29" s="25"/>
      <c r="B29" s="8" t="str">
        <f>VLOOKUP($B$15,DISTRICT_RO[],15,0)</f>
        <v>White River Junction VSC</v>
      </c>
      <c r="C29" s="157">
        <f>IF($B29=" ","",IFERROR(INDEX(MMWR_RATING_RO_ROLLUP[],MATCH($B29,MMWR_RATING_RO_ROLLUP[MMWR_RATING_RO_ROLLUP],0),MATCH(C$9,MMWR_RATING_RO_ROLLUP[#Headers],0)),"ERROR"))</f>
        <v>434</v>
      </c>
      <c r="D29" s="158">
        <f>IF($B29=" ","",IFERROR(INDEX(MMWR_RATING_RO_ROLLUP[],MATCH($B29,MMWR_RATING_RO_ROLLUP[MMWR_RATING_RO_ROLLUP],0),MATCH(D$9,MMWR_RATING_RO_ROLLUP[#Headers],0)),"ERROR"))</f>
        <v>110.5783410138</v>
      </c>
      <c r="E29" s="159">
        <f>IF($B29=" ","",IFERROR(INDEX(MMWR_RATING_RO_ROLLUP[],MATCH($B29,MMWR_RATING_RO_ROLLUP[MMWR_RATING_RO_ROLLUP],0),MATCH(E$9,MMWR_RATING_RO_ROLLUP[#Headers],0))/$C29,"ERROR"))</f>
        <v>0.29262672811059909</v>
      </c>
      <c r="F29" s="157">
        <f>IF($B29=" ","",IFERROR(INDEX(MMWR_RATING_RO_ROLLUP[],MATCH($B29,MMWR_RATING_RO_ROLLUP[MMWR_RATING_RO_ROLLUP],0),MATCH(F$9,MMWR_RATING_RO_ROLLUP[#Headers],0)),"ERROR"))</f>
        <v>84</v>
      </c>
      <c r="G29" s="157">
        <f>IF($B29=" ","",IFERROR(INDEX(MMWR_RATING_RO_ROLLUP[],MATCH($B29,MMWR_RATING_RO_ROLLUP[MMWR_RATING_RO_ROLLUP],0),MATCH(G$9,MMWR_RATING_RO_ROLLUP[#Headers],0)),"ERROR"))</f>
        <v>1131</v>
      </c>
      <c r="H29" s="158">
        <f>IF($B29=" ","",IFERROR(INDEX(MMWR_RATING_RO_ROLLUP[],MATCH($B29,MMWR_RATING_RO_ROLLUP[MMWR_RATING_RO_ROLLUP],0),MATCH(H$9,MMWR_RATING_RO_ROLLUP[#Headers],0)),"ERROR"))</f>
        <v>166.17857142860001</v>
      </c>
      <c r="I29" s="158">
        <f>IF($B29=" ","",IFERROR(INDEX(MMWR_RATING_RO_ROLLUP[],MATCH($B29,MMWR_RATING_RO_ROLLUP[MMWR_RATING_RO_ROLLUP],0),MATCH(I$9,MMWR_RATING_RO_ROLLUP[#Headers],0)),"ERROR"))</f>
        <v>174.08930150309999</v>
      </c>
      <c r="J29" s="42"/>
      <c r="K29" s="42"/>
      <c r="L29" s="42"/>
      <c r="M29" s="42"/>
      <c r="N29" s="28"/>
    </row>
    <row r="30" spans="1:14" x14ac:dyDescent="0.2">
      <c r="A30" s="25"/>
      <c r="B30" s="8" t="str">
        <f>VLOOKUP($B$15,DISTRICT_RO[],16,0)</f>
        <v>Wilmington VSC</v>
      </c>
      <c r="C30" s="157">
        <f>IF($B30=" ","",IFERROR(INDEX(MMWR_RATING_RO_ROLLUP[],MATCH($B30,MMWR_RATING_RO_ROLLUP[MMWR_RATING_RO_ROLLUP],0),MATCH(C$9,MMWR_RATING_RO_ROLLUP[#Headers],0)),"ERROR"))</f>
        <v>895</v>
      </c>
      <c r="D30" s="158">
        <f>IF($B30=" ","",IFERROR(INDEX(MMWR_RATING_RO_ROLLUP[],MATCH($B30,MMWR_RATING_RO_ROLLUP[MMWR_RATING_RO_ROLLUP],0),MATCH(D$9,MMWR_RATING_RO_ROLLUP[#Headers],0)),"ERROR"))</f>
        <v>137.03351955310001</v>
      </c>
      <c r="E30" s="159">
        <f>IF($B30=" ","",IFERROR(INDEX(MMWR_RATING_RO_ROLLUP[],MATCH($B30,MMWR_RATING_RO_ROLLUP[MMWR_RATING_RO_ROLLUP],0),MATCH(E$9,MMWR_RATING_RO_ROLLUP[#Headers],0))/$C30,"ERROR"))</f>
        <v>0.37765363128491619</v>
      </c>
      <c r="F30" s="157">
        <f>IF($B30=" ","",IFERROR(INDEX(MMWR_RATING_RO_ROLLUP[],MATCH($B30,MMWR_RATING_RO_ROLLUP[MMWR_RATING_RO_ROLLUP],0),MATCH(F$9,MMWR_RATING_RO_ROLLUP[#Headers],0)),"ERROR"))</f>
        <v>145</v>
      </c>
      <c r="G30" s="157">
        <f>IF($B30=" ","",IFERROR(INDEX(MMWR_RATING_RO_ROLLUP[],MATCH($B30,MMWR_RATING_RO_ROLLUP[MMWR_RATING_RO_ROLLUP],0),MATCH(G$9,MMWR_RATING_RO_ROLLUP[#Headers],0)),"ERROR"))</f>
        <v>2023</v>
      </c>
      <c r="H30" s="158">
        <f>IF($B30=" ","",IFERROR(INDEX(MMWR_RATING_RO_ROLLUP[],MATCH($B30,MMWR_RATING_RO_ROLLUP[MMWR_RATING_RO_ROLLUP],0),MATCH(H$9,MMWR_RATING_RO_ROLLUP[#Headers],0)),"ERROR"))</f>
        <v>238.22758620690001</v>
      </c>
      <c r="I30" s="158">
        <f>IF($B30=" ","",IFERROR(INDEX(MMWR_RATING_RO_ROLLUP[],MATCH($B30,MMWR_RATING_RO_ROLLUP[MMWR_RATING_RO_ROLLUP],0),MATCH(I$9,MMWR_RATING_RO_ROLLUP[#Headers],0)),"ERROR"))</f>
        <v>224.43252595160001</v>
      </c>
      <c r="J30" s="42"/>
      <c r="K30" s="42"/>
      <c r="L30" s="42"/>
      <c r="M30" s="42"/>
      <c r="N30" s="28"/>
    </row>
    <row r="31" spans="1:14" x14ac:dyDescent="0.2">
      <c r="A31" s="25"/>
      <c r="B31" s="8" t="str">
        <f>VLOOKUP($B$15,DISTRICT_RO[],17,0)</f>
        <v>Winston-Salem VSC</v>
      </c>
      <c r="C31" s="157">
        <f>IF($B31=" ","",IFERROR(INDEX(MMWR_RATING_RO_ROLLUP[],MATCH($B31,MMWR_RATING_RO_ROLLUP[MMWR_RATING_RO_ROLLUP],0),MATCH(C$9,MMWR_RATING_RO_ROLLUP[#Headers],0)),"ERROR"))</f>
        <v>19877</v>
      </c>
      <c r="D31" s="158">
        <f>IF($B31=" ","",IFERROR(INDEX(MMWR_RATING_RO_ROLLUP[],MATCH($B31,MMWR_RATING_RO_ROLLUP[MMWR_RATING_RO_ROLLUP],0),MATCH(D$9,MMWR_RATING_RO_ROLLUP[#Headers],0)),"ERROR"))</f>
        <v>124.25481712529999</v>
      </c>
      <c r="E31" s="159">
        <f>IF($B31=" ","",IFERROR(INDEX(MMWR_RATING_RO_ROLLUP[],MATCH($B31,MMWR_RATING_RO_ROLLUP[MMWR_RATING_RO_ROLLUP],0),MATCH(E$9,MMWR_RATING_RO_ROLLUP[#Headers],0))/$C31,"ERROR"))</f>
        <v>0.36318357901091713</v>
      </c>
      <c r="F31" s="157">
        <f>IF($B31=" ","",IFERROR(INDEX(MMWR_RATING_RO_ROLLUP[],MATCH($B31,MMWR_RATING_RO_ROLLUP[MMWR_RATING_RO_ROLLUP],0),MATCH(F$9,MMWR_RATING_RO_ROLLUP[#Headers],0)),"ERROR"))</f>
        <v>3534</v>
      </c>
      <c r="G31" s="157">
        <f>IF($B31=" ","",IFERROR(INDEX(MMWR_RATING_RO_ROLLUP[],MATCH($B31,MMWR_RATING_RO_ROLLUP[MMWR_RATING_RO_ROLLUP],0),MATCH(G$9,MMWR_RATING_RO_ROLLUP[#Headers],0)),"ERROR"))</f>
        <v>40809</v>
      </c>
      <c r="H31" s="158">
        <f>IF($B31=" ","",IFERROR(INDEX(MMWR_RATING_RO_ROLLUP[],MATCH($B31,MMWR_RATING_RO_ROLLUP[MMWR_RATING_RO_ROLLUP],0),MATCH(H$9,MMWR_RATING_RO_ROLLUP[#Headers],0)),"ERROR"))</f>
        <v>183.8070175439</v>
      </c>
      <c r="I31" s="158">
        <f>IF($B31=" ","",IFERROR(INDEX(MMWR_RATING_RO_ROLLUP[],MATCH($B31,MMWR_RATING_RO_ROLLUP[MMWR_RATING_RO_ROLLUP],0),MATCH(I$9,MMWR_RATING_RO_ROLLUP[#Headers],0)),"ERROR"))</f>
        <v>212.97806856330001</v>
      </c>
      <c r="J31" s="42"/>
      <c r="K31" s="42"/>
      <c r="L31" s="42"/>
      <c r="M31" s="42"/>
      <c r="N31" s="28"/>
    </row>
    <row r="32" spans="1:14" x14ac:dyDescent="0.2">
      <c r="A32" s="25"/>
      <c r="B32" s="367" t="s">
        <v>750</v>
      </c>
      <c r="C32" s="368"/>
      <c r="D32" s="368"/>
      <c r="E32" s="368"/>
      <c r="F32" s="368"/>
      <c r="G32" s="368"/>
      <c r="H32" s="368"/>
      <c r="I32" s="368"/>
      <c r="J32" s="368"/>
      <c r="K32" s="368"/>
      <c r="L32" s="368"/>
      <c r="M32" s="380"/>
      <c r="N32" s="28"/>
    </row>
    <row r="33" spans="1:14" x14ac:dyDescent="0.2">
      <c r="A33" s="25"/>
      <c r="B33" s="11" t="s">
        <v>713</v>
      </c>
      <c r="C33" s="157">
        <f>IF($B33=" ","",IFERROR(INDEX(MMWR_RATING_RO_ROLLUP[],MATCH($B33,MMWR_RATING_RO_ROLLUP[MMWR_RATING_RO_ROLLUP],0),MATCH(C$9,MMWR_RATING_RO_ROLLUP[#Headers],0)),"ERROR"))</f>
        <v>18985</v>
      </c>
      <c r="D33" s="158">
        <f>IF($B33=" ","",IFERROR(INDEX(MMWR_RATING_RO_ROLLUP[],MATCH($B33,MMWR_RATING_RO_ROLLUP[MMWR_RATING_RO_ROLLUP],0),MATCH(D$9,MMWR_RATING_RO_ROLLUP[#Headers],0)),"ERROR"))</f>
        <v>61.410639978900001</v>
      </c>
      <c r="E33" s="159">
        <f>IF($B33=" ","",IFERROR(INDEX(MMWR_RATING_RO_ROLLUP[],MATCH($B33,MMWR_RATING_RO_ROLLUP[MMWR_RATING_RO_ROLLUP],0),MATCH(E$9,MMWR_RATING_RO_ROLLUP[#Headers],0))/$C33,"ERROR"))</f>
        <v>9.6181195680800635E-2</v>
      </c>
      <c r="F33" s="157">
        <f>IF($B33=" ","",IFERROR(INDEX(MMWR_RATING_RO_ROLLUP[],MATCH($B33,MMWR_RATING_RO_ROLLUP[MMWR_RATING_RO_ROLLUP],0),MATCH(F$9,MMWR_RATING_RO_ROLLUP[#Headers],0)),"ERROR"))</f>
        <v>8383</v>
      </c>
      <c r="G33" s="157">
        <f>IF($B33=" ","",IFERROR(INDEX(MMWR_RATING_RO_ROLLUP[],MATCH($B33,MMWR_RATING_RO_ROLLUP[MMWR_RATING_RO_ROLLUP],0),MATCH(G$9,MMWR_RATING_RO_ROLLUP[#Headers],0)),"ERROR"))</f>
        <v>110882</v>
      </c>
      <c r="H33" s="158">
        <f>IF($B33=" ","",IFERROR(INDEX(MMWR_RATING_RO_ROLLUP[],MATCH($B33,MMWR_RATING_RO_ROLLUP[MMWR_RATING_RO_ROLLUP],0),MATCH(H$9,MMWR_RATING_RO_ROLLUP[#Headers],0)),"ERROR"))</f>
        <v>62.185852320199999</v>
      </c>
      <c r="I33" s="158">
        <f>IF($B33=" ","",IFERROR(INDEX(MMWR_RATING_RO_ROLLUP[],MATCH($B33,MMWR_RATING_RO_ROLLUP[MMWR_RATING_RO_ROLLUP],0),MATCH(I$9,MMWR_RATING_RO_ROLLUP[#Headers],0)),"ERROR"))</f>
        <v>64.502489132600004</v>
      </c>
      <c r="J33" s="42"/>
      <c r="K33" s="42"/>
      <c r="L33" s="42"/>
      <c r="M33" s="42"/>
      <c r="N33" s="28"/>
    </row>
    <row r="34" spans="1:14" x14ac:dyDescent="0.2">
      <c r="A34" s="25"/>
      <c r="B34" s="12" t="s">
        <v>218</v>
      </c>
      <c r="C34" s="157">
        <f>IF($B34=" ","",IFERROR(INDEX(MMWR_RATING_RO_ROLLUP[],MATCH($B34,MMWR_RATING_RO_ROLLUP[MMWR_RATING_RO_ROLLUP],0),MATCH(C$9,MMWR_RATING_RO_ROLLUP[#Headers],0)),"ERROR"))</f>
        <v>6106</v>
      </c>
      <c r="D34" s="158">
        <f>IF($B34=" ","",IFERROR(INDEX(MMWR_RATING_RO_ROLLUP[],MATCH($B34,MMWR_RATING_RO_ROLLUP[MMWR_RATING_RO_ROLLUP],0),MATCH(D$9,MMWR_RATING_RO_ROLLUP[#Headers],0)),"ERROR"))</f>
        <v>66.135931870299999</v>
      </c>
      <c r="E34" s="159">
        <f>IF($B34=" ","",IFERROR(INDEX(MMWR_RATING_RO_ROLLUP[],MATCH($B34,MMWR_RATING_RO_ROLLUP[MMWR_RATING_RO_ROLLUP],0),MATCH(E$9,MMWR_RATING_RO_ROLLUP[#Headers],0))/$C34,"ERROR"))</f>
        <v>0.11513265640353751</v>
      </c>
      <c r="F34" s="157">
        <f>IF($B34=" ","",IFERROR(INDEX(MMWR_RATING_RO_ROLLUP[],MATCH($B34,MMWR_RATING_RO_ROLLUP[MMWR_RATING_RO_ROLLUP],0),MATCH(F$9,MMWR_RATING_RO_ROLLUP[#Headers],0)),"ERROR"))</f>
        <v>2780</v>
      </c>
      <c r="G34" s="157">
        <f>IF($B34=" ","",IFERROR(INDEX(MMWR_RATING_RO_ROLLUP[],MATCH($B34,MMWR_RATING_RO_ROLLUP[MMWR_RATING_RO_ROLLUP],0),MATCH(G$9,MMWR_RATING_RO_ROLLUP[#Headers],0)),"ERROR"))</f>
        <v>35023</v>
      </c>
      <c r="H34" s="158">
        <f>IF($B34=" ","",IFERROR(INDEX(MMWR_RATING_RO_ROLLUP[],MATCH($B34,MMWR_RATING_RO_ROLLUP[MMWR_RATING_RO_ROLLUP],0),MATCH(H$9,MMWR_RATING_RO_ROLLUP[#Headers],0)),"ERROR"))</f>
        <v>65.415467625900007</v>
      </c>
      <c r="I34" s="158">
        <f>IF($B34=" ","",IFERROR(INDEX(MMWR_RATING_RO_ROLLUP[],MATCH($B34,MMWR_RATING_RO_ROLLUP[MMWR_RATING_RO_ROLLUP],0),MATCH(I$9,MMWR_RATING_RO_ROLLUP[#Headers],0)),"ERROR"))</f>
        <v>72.569482911199998</v>
      </c>
      <c r="J34" s="42"/>
      <c r="K34" s="42"/>
      <c r="L34" s="42"/>
      <c r="M34" s="42"/>
      <c r="N34" s="28"/>
    </row>
    <row r="35" spans="1:14" x14ac:dyDescent="0.2">
      <c r="A35" s="44"/>
      <c r="B35" s="12" t="s">
        <v>217</v>
      </c>
      <c r="C35" s="157">
        <f>IF($B35=" ","",IFERROR(INDEX(MMWR_RATING_RO_ROLLUP[],MATCH($B35,MMWR_RATING_RO_ROLLUP[MMWR_RATING_RO_ROLLUP],0),MATCH(C$9,MMWR_RATING_RO_ROLLUP[#Headers],0)),"ERROR"))</f>
        <v>4609</v>
      </c>
      <c r="D35" s="158">
        <f>IF($B35=" ","",IFERROR(INDEX(MMWR_RATING_RO_ROLLUP[],MATCH($B35,MMWR_RATING_RO_ROLLUP[MMWR_RATING_RO_ROLLUP],0),MATCH(D$9,MMWR_RATING_RO_ROLLUP[#Headers],0)),"ERROR"))</f>
        <v>54.601215014099999</v>
      </c>
      <c r="E35" s="159">
        <f>IF($B35=" ","",IFERROR(INDEX(MMWR_RATING_RO_ROLLUP[],MATCH($B35,MMWR_RATING_RO_ROLLUP[MMWR_RATING_RO_ROLLUP],0),MATCH(E$9,MMWR_RATING_RO_ROLLUP[#Headers],0))/$C35,"ERROR"))</f>
        <v>8.1796485137773919E-2</v>
      </c>
      <c r="F35" s="157">
        <f>IF($B35=" ","",IFERROR(INDEX(MMWR_RATING_RO_ROLLUP[],MATCH($B35,MMWR_RATING_RO_ROLLUP[MMWR_RATING_RO_ROLLUP],0),MATCH(F$9,MMWR_RATING_RO_ROLLUP[#Headers],0)),"ERROR"))</f>
        <v>2301</v>
      </c>
      <c r="G35" s="157">
        <f>IF($B35=" ","",IFERROR(INDEX(MMWR_RATING_RO_ROLLUP[],MATCH($B35,MMWR_RATING_RO_ROLLUP[MMWR_RATING_RO_ROLLUP],0),MATCH(G$9,MMWR_RATING_RO_ROLLUP[#Headers],0)),"ERROR"))</f>
        <v>31231</v>
      </c>
      <c r="H35" s="158">
        <f>IF($B35=" ","",IFERROR(INDEX(MMWR_RATING_RO_ROLLUP[],MATCH($B35,MMWR_RATING_RO_ROLLUP[MMWR_RATING_RO_ROLLUP],0),MATCH(H$9,MMWR_RATING_RO_ROLLUP[#Headers],0)),"ERROR"))</f>
        <v>51.389395914799998</v>
      </c>
      <c r="I35" s="158">
        <f>IF($B35=" ","",IFERROR(INDEX(MMWR_RATING_RO_ROLLUP[],MATCH($B35,MMWR_RATING_RO_ROLLUP[MMWR_RATING_RO_ROLLUP],0),MATCH(I$9,MMWR_RATING_RO_ROLLUP[#Headers],0)),"ERROR"))</f>
        <v>55.236623867299997</v>
      </c>
      <c r="J35" s="42"/>
      <c r="K35" s="42"/>
      <c r="L35" s="42"/>
      <c r="M35" s="42"/>
      <c r="N35" s="28"/>
    </row>
    <row r="36" spans="1:14" x14ac:dyDescent="0.2">
      <c r="A36" s="25"/>
      <c r="B36" s="12" t="s">
        <v>220</v>
      </c>
      <c r="C36" s="157">
        <f>IF($B36=" ","",IFERROR(INDEX(MMWR_RATING_RO_ROLLUP[],MATCH($B36,MMWR_RATING_RO_ROLLUP[MMWR_RATING_RO_ROLLUP],0),MATCH(C$9,MMWR_RATING_RO_ROLLUP[#Headers],0)),"ERROR"))</f>
        <v>7683</v>
      </c>
      <c r="D36" s="158">
        <f>IF($B36=" ","",IFERROR(INDEX(MMWR_RATING_RO_ROLLUP[],MATCH($B36,MMWR_RATING_RO_ROLLUP[MMWR_RATING_RO_ROLLUP],0),MATCH(D$9,MMWR_RATING_RO_ROLLUP[#Headers],0)),"ERROR"))</f>
        <v>54.424964206699997</v>
      </c>
      <c r="E36" s="159">
        <f>IF($B36=" ","",IFERROR(INDEX(MMWR_RATING_RO_ROLLUP[],MATCH($B36,MMWR_RATING_RO_ROLLUP[MMWR_RATING_RO_ROLLUP],0),MATCH(E$9,MMWR_RATING_RO_ROLLUP[#Headers],0))/$C36,"ERROR"))</f>
        <v>6.4037485357282306E-2</v>
      </c>
      <c r="F36" s="157">
        <f>IF($B36=" ","",IFERROR(INDEX(MMWR_RATING_RO_ROLLUP[],MATCH($B36,MMWR_RATING_RO_ROLLUP[MMWR_RATING_RO_ROLLUP],0),MATCH(F$9,MMWR_RATING_RO_ROLLUP[#Headers],0)),"ERROR"))</f>
        <v>3046</v>
      </c>
      <c r="G36" s="157">
        <f>IF($B36=" ","",IFERROR(INDEX(MMWR_RATING_RO_ROLLUP[],MATCH($B36,MMWR_RATING_RO_ROLLUP[MMWR_RATING_RO_ROLLUP],0),MATCH(G$9,MMWR_RATING_RO_ROLLUP[#Headers],0)),"ERROR"))</f>
        <v>40458</v>
      </c>
      <c r="H36" s="158">
        <f>IF($B36=" ","",IFERROR(INDEX(MMWR_RATING_RO_ROLLUP[],MATCH($B36,MMWR_RATING_RO_ROLLUP[MMWR_RATING_RO_ROLLUP],0),MATCH(H$9,MMWR_RATING_RO_ROLLUP[#Headers],0)),"ERROR"))</f>
        <v>66.411359159599996</v>
      </c>
      <c r="I36" s="158">
        <f>IF($B36=" ","",IFERROR(INDEX(MMWR_RATING_RO_ROLLUP[],MATCH($B36,MMWR_RATING_RO_ROLLUP[MMWR_RATING_RO_ROLLUP],0),MATCH(I$9,MMWR_RATING_RO_ROLLUP[#Headers],0)),"ERROR"))</f>
        <v>64.419793365999993</v>
      </c>
      <c r="J36" s="42"/>
      <c r="K36" s="42"/>
      <c r="L36" s="42"/>
      <c r="M36" s="42"/>
      <c r="N36" s="28"/>
    </row>
    <row r="37" spans="1:14" x14ac:dyDescent="0.2">
      <c r="A37" s="25"/>
      <c r="B37" s="13" t="s">
        <v>232</v>
      </c>
      <c r="C37" s="157">
        <f>IF($B37=" ","",IFERROR(INDEX(MMWR_RATING_RO_ROLLUP[],MATCH($B37,MMWR_RATING_RO_ROLLUP[MMWR_RATING_RO_ROLLUP],0),MATCH(C$9,MMWR_RATING_RO_ROLLUP[#Headers],0)),"ERROR"))</f>
        <v>587</v>
      </c>
      <c r="D37" s="158">
        <f>IF($B37=" ","",IFERROR(INDEX(MMWR_RATING_RO_ROLLUP[],MATCH($B37,MMWR_RATING_RO_ROLLUP[MMWR_RATING_RO_ROLLUP],0),MATCH(D$9,MMWR_RATING_RO_ROLLUP[#Headers],0)),"ERROR"))</f>
        <v>157.1567291312</v>
      </c>
      <c r="E37" s="159">
        <f>IF($B37=" ","",IFERROR(INDEX(MMWR_RATING_RO_ROLLUP[],MATCH($B37,MMWR_RATING_RO_ROLLUP[MMWR_RATING_RO_ROLLUP],0),MATCH(E$9,MMWR_RATING_RO_ROLLUP[#Headers],0))/$C37,"ERROR"))</f>
        <v>0.43270868824531517</v>
      </c>
      <c r="F37" s="157">
        <f>IF($B37=" ","",IFERROR(INDEX(MMWR_RATING_RO_ROLLUP[],MATCH($B37,MMWR_RATING_RO_ROLLUP[MMWR_RATING_RO_ROLLUP],0),MATCH(F$9,MMWR_RATING_RO_ROLLUP[#Headers],0)),"ERROR"))</f>
        <v>256</v>
      </c>
      <c r="G37" s="157">
        <f>IF($B37=" ","",IFERROR(INDEX(MMWR_RATING_RO_ROLLUP[],MATCH($B37,MMWR_RATING_RO_ROLLUP[MMWR_RATING_RO_ROLLUP],0),MATCH(G$9,MMWR_RATING_RO_ROLLUP[#Headers],0)),"ERROR"))</f>
        <v>4170</v>
      </c>
      <c r="H37" s="158">
        <f>IF($B37=" ","",IFERROR(INDEX(MMWR_RATING_RO_ROLLUP[],MATCH($B37,MMWR_RATING_RO_ROLLUP[MMWR_RATING_RO_ROLLUP],0),MATCH(H$9,MMWR_RATING_RO_ROLLUP[#Headers],0)),"ERROR"))</f>
        <v>73.87890625</v>
      </c>
      <c r="I37" s="158">
        <f>IF($B37=" ","",IFERROR(INDEX(MMWR_RATING_RO_ROLLUP[],MATCH($B37,MMWR_RATING_RO_ROLLUP[MMWR_RATING_RO_ROLLUP],0),MATCH(I$9,MMWR_RATING_RO_ROLLUP[#Headers],0)),"ERROR"))</f>
        <v>66.947961630699993</v>
      </c>
      <c r="J37" s="42"/>
      <c r="K37" s="42"/>
      <c r="L37" s="42"/>
      <c r="M37" s="42"/>
      <c r="N37" s="28"/>
    </row>
    <row r="38" spans="1:14" x14ac:dyDescent="0.2">
      <c r="A38" s="25"/>
      <c r="B38" s="367" t="s">
        <v>933</v>
      </c>
      <c r="C38" s="368"/>
      <c r="D38" s="368"/>
      <c r="E38" s="368"/>
      <c r="F38" s="368"/>
      <c r="G38" s="368"/>
      <c r="H38" s="368"/>
      <c r="I38" s="368"/>
      <c r="J38" s="368"/>
      <c r="K38" s="368"/>
      <c r="L38" s="368"/>
      <c r="M38" s="380"/>
      <c r="N38" s="28"/>
    </row>
    <row r="39" spans="1:14" x14ac:dyDescent="0.2">
      <c r="A39" s="25"/>
      <c r="B39" s="45" t="s">
        <v>714</v>
      </c>
      <c r="C39" s="157">
        <f>IF($B39=" ","",IFERROR(INDEX(MMWR_RATING_RO_ROLLUP[],MATCH($B39,MMWR_RATING_RO_ROLLUP[MMWR_RATING_RO_ROLLUP],0),MATCH(C$9,MMWR_RATING_RO_ROLLUP[#Headers],0)),"ERROR"))</f>
        <v>7865</v>
      </c>
      <c r="D39" s="158">
        <f>IF($B39=" ","",IFERROR(INDEX(MMWR_RATING_RO_ROLLUP[],MATCH($B39,MMWR_RATING_RO_ROLLUP[MMWR_RATING_RO_ROLLUP],0),MATCH(D$9,MMWR_RATING_RO_ROLLUP[#Headers],0)),"ERROR"))</f>
        <v>76.171265098500001</v>
      </c>
      <c r="E39" s="159">
        <f>IF($B39=" ","",IFERROR(INDEX(MMWR_RATING_RO_ROLLUP[],MATCH($B39,MMWR_RATING_RO_ROLLUP[MMWR_RATING_RO_ROLLUP],0),MATCH(E$9,MMWR_RATING_RO_ROLLUP[#Headers],0))/$C39,"ERROR"))</f>
        <v>0.18169103623649077</v>
      </c>
      <c r="F39" s="157">
        <f>IF($B39=" ","",IFERROR(INDEX(MMWR_RATING_RO_ROLLUP[],MATCH($B39,MMWR_RATING_RO_ROLLUP[MMWR_RATING_RO_ROLLUP],0),MATCH(F$9,MMWR_RATING_RO_ROLLUP[#Headers],0)),"ERROR"))</f>
        <v>1391</v>
      </c>
      <c r="G39" s="157">
        <f>IF($B39=" ","",IFERROR(INDEX(MMWR_RATING_RO_ROLLUP[],MATCH($B39,MMWR_RATING_RO_ROLLUP[MMWR_RATING_RO_ROLLUP],0),MATCH(G$9,MMWR_RATING_RO_ROLLUP[#Headers],0)),"ERROR"))</f>
        <v>18820</v>
      </c>
      <c r="H39" s="158">
        <f>IF($B39=" ","",IFERROR(INDEX(MMWR_RATING_RO_ROLLUP[],MATCH($B39,MMWR_RATING_RO_ROLLUP[MMWR_RATING_RO_ROLLUP],0),MATCH(H$9,MMWR_RATING_RO_ROLLUP[#Headers],0)),"ERROR"))</f>
        <v>126.291876348</v>
      </c>
      <c r="I39" s="158">
        <f>IF($B39=" ","",IFERROR(INDEX(MMWR_RATING_RO_ROLLUP[],MATCH($B39,MMWR_RATING_RO_ROLLUP[MMWR_RATING_RO_ROLLUP],0),MATCH(I$9,MMWR_RATING_RO_ROLLUP[#Headers],0)),"ERROR"))</f>
        <v>135.10042507969999</v>
      </c>
      <c r="J39" s="42"/>
      <c r="K39" s="42"/>
      <c r="L39" s="42"/>
      <c r="M39" s="42"/>
      <c r="N39" s="28"/>
    </row>
    <row r="40" spans="1:14" x14ac:dyDescent="0.2">
      <c r="A40" s="25"/>
      <c r="B40" s="54" t="s">
        <v>978</v>
      </c>
      <c r="C40" s="157">
        <f>IF($B40=" ","",IFERROR(INDEX(MMWR_RATING_RO_ROLLUP[],MATCH($B40,MMWR_RATING_RO_ROLLUP[MMWR_RATING_RO_ROLLUP],0),MATCH(C$9,MMWR_RATING_RO_ROLLUP[#Headers],0)),"ERROR"))</f>
        <v>2490</v>
      </c>
      <c r="D40" s="158">
        <f>IF($B40=" ","",IFERROR(INDEX(MMWR_RATING_RO_ROLLUP[],MATCH($B40,MMWR_RATING_RO_ROLLUP[MMWR_RATING_RO_ROLLUP],0),MATCH(D$9,MMWR_RATING_RO_ROLLUP[#Headers],0)),"ERROR"))</f>
        <v>73.632530120499993</v>
      </c>
      <c r="E40" s="159">
        <f>IF($B40=" ","",IFERROR(INDEX(MMWR_RATING_RO_ROLLUP[],MATCH($B40,MMWR_RATING_RO_ROLLUP[MMWR_RATING_RO_ROLLUP],0),MATCH(E$9,MMWR_RATING_RO_ROLLUP[#Headers],0))/$C40,"ERROR"))</f>
        <v>0.17550200803212851</v>
      </c>
      <c r="F40" s="157">
        <f>IF($B40=" ","",IFERROR(INDEX(MMWR_RATING_RO_ROLLUP[],MATCH($B40,MMWR_RATING_RO_ROLLUP[MMWR_RATING_RO_ROLLUP],0),MATCH(F$9,MMWR_RATING_RO_ROLLUP[#Headers],0)),"ERROR"))</f>
        <v>595</v>
      </c>
      <c r="G40" s="157">
        <f>IF($B40=" ","",IFERROR(INDEX(MMWR_RATING_RO_ROLLUP[],MATCH($B40,MMWR_RATING_RO_ROLLUP[MMWR_RATING_RO_ROLLUP],0),MATCH(G$9,MMWR_RATING_RO_ROLLUP[#Headers],0)),"ERROR"))</f>
        <v>7953</v>
      </c>
      <c r="H40" s="158">
        <f>IF($B40=" ","",IFERROR(INDEX(MMWR_RATING_RO_ROLLUP[],MATCH($B40,MMWR_RATING_RO_ROLLUP[MMWR_RATING_RO_ROLLUP],0),MATCH(H$9,MMWR_RATING_RO_ROLLUP[#Headers],0)),"ERROR"))</f>
        <v>111.64537815129999</v>
      </c>
      <c r="I40" s="158">
        <f>IF($B40=" ","",IFERROR(INDEX(MMWR_RATING_RO_ROLLUP[],MATCH($B40,MMWR_RATING_RO_ROLLUP[MMWR_RATING_RO_ROLLUP],0),MATCH(I$9,MMWR_RATING_RO_ROLLUP[#Headers],0)),"ERROR"))</f>
        <v>120.3552118697</v>
      </c>
      <c r="J40" s="42"/>
      <c r="K40" s="42"/>
      <c r="L40" s="42"/>
      <c r="M40" s="42"/>
      <c r="N40" s="28"/>
    </row>
    <row r="41" spans="1:14" x14ac:dyDescent="0.2">
      <c r="A41" s="25"/>
      <c r="B41" s="54" t="s">
        <v>979</v>
      </c>
      <c r="C41" s="157">
        <f>IF($B41=" ","",IFERROR(INDEX(MMWR_RATING_RO_ROLLUP[],MATCH($B41,MMWR_RATING_RO_ROLLUP[MMWR_RATING_RO_ROLLUP],0),MATCH(C$9,MMWR_RATING_RO_ROLLUP[#Headers],0)),"ERROR"))</f>
        <v>2965</v>
      </c>
      <c r="D41" s="158">
        <f>IF($B41=" ","",IFERROR(INDEX(MMWR_RATING_RO_ROLLUP[],MATCH($B41,MMWR_RATING_RO_ROLLUP[MMWR_RATING_RO_ROLLUP],0),MATCH(D$9,MMWR_RATING_RO_ROLLUP[#Headers],0)),"ERROR"))</f>
        <v>88.692411467100001</v>
      </c>
      <c r="E41" s="159">
        <f>IF($B41=" ","",IFERROR(INDEX(MMWR_RATING_RO_ROLLUP[],MATCH($B41,MMWR_RATING_RO_ROLLUP[MMWR_RATING_RO_ROLLUP],0),MATCH(E$9,MMWR_RATING_RO_ROLLUP[#Headers],0))/$C41,"ERROR"))</f>
        <v>0.24957841483979765</v>
      </c>
      <c r="F41" s="157">
        <f>IF($B41=" ","",IFERROR(INDEX(MMWR_RATING_RO_ROLLUP[],MATCH($B41,MMWR_RATING_RO_ROLLUP[MMWR_RATING_RO_ROLLUP],0),MATCH(F$9,MMWR_RATING_RO_ROLLUP[#Headers],0)),"ERROR"))</f>
        <v>569</v>
      </c>
      <c r="G41" s="157">
        <f>IF($B41=" ","",IFERROR(INDEX(MMWR_RATING_RO_ROLLUP[],MATCH($B41,MMWR_RATING_RO_ROLLUP[MMWR_RATING_RO_ROLLUP],0),MATCH(G$9,MMWR_RATING_RO_ROLLUP[#Headers],0)),"ERROR"))</f>
        <v>8302</v>
      </c>
      <c r="H41" s="158">
        <f>IF($B41=" ","",IFERROR(INDEX(MMWR_RATING_RO_ROLLUP[],MATCH($B41,MMWR_RATING_RO_ROLLUP[MMWR_RATING_RO_ROLLUP],0),MATCH(H$9,MMWR_RATING_RO_ROLLUP[#Headers],0)),"ERROR"))</f>
        <v>149.51142355010001</v>
      </c>
      <c r="I41" s="158">
        <f>IF($B41=" ","",IFERROR(INDEX(MMWR_RATING_RO_ROLLUP[],MATCH($B41,MMWR_RATING_RO_ROLLUP[MMWR_RATING_RO_ROLLUP],0),MATCH(I$9,MMWR_RATING_RO_ROLLUP[#Headers],0)),"ERROR"))</f>
        <v>151.75114430260001</v>
      </c>
      <c r="J41" s="42"/>
      <c r="K41" s="42"/>
      <c r="L41" s="42"/>
      <c r="M41" s="42"/>
      <c r="N41" s="28"/>
    </row>
    <row r="42" spans="1:14" x14ac:dyDescent="0.2">
      <c r="A42" s="25"/>
      <c r="B42" s="47" t="s">
        <v>316</v>
      </c>
      <c r="C42" s="157">
        <f>IF($B42=" ","",IFERROR(INDEX(MMWR_RATING_RO_ROLLUP[],MATCH($B42,MMWR_RATING_RO_ROLLUP[MMWR_RATING_RO_ROLLUP],0),MATCH(C$9,MMWR_RATING_RO_ROLLUP[#Headers],0)),"ERROR"))</f>
        <v>2410</v>
      </c>
      <c r="D42" s="158">
        <f>IF($B42=" ","",IFERROR(INDEX(MMWR_RATING_RO_ROLLUP[],MATCH($B42,MMWR_RATING_RO_ROLLUP[MMWR_RATING_RO_ROLLUP],0),MATCH(D$9,MMWR_RATING_RO_ROLLUP[#Headers],0)),"ERROR"))</f>
        <v>63.389626556000003</v>
      </c>
      <c r="E42" s="159">
        <f>IF($B42=" ","",IFERROR(INDEX(MMWR_RATING_RO_ROLLUP[],MATCH($B42,MMWR_RATING_RO_ROLLUP[MMWR_RATING_RO_ROLLUP],0),MATCH(E$9,MMWR_RATING_RO_ROLLUP[#Headers],0))/$C42,"ERROR"))</f>
        <v>0.1045643153526971</v>
      </c>
      <c r="F42" s="157">
        <f>IF($B42=" ","",IFERROR(INDEX(MMWR_RATING_RO_ROLLUP[],MATCH($B42,MMWR_RATING_RO_ROLLUP[MMWR_RATING_RO_ROLLUP],0),MATCH(F$9,MMWR_RATING_RO_ROLLUP[#Headers],0)),"ERROR"))</f>
        <v>227</v>
      </c>
      <c r="G42" s="157">
        <f>IF($B42=" ","",IFERROR(INDEX(MMWR_RATING_RO_ROLLUP[],MATCH($B42,MMWR_RATING_RO_ROLLUP[MMWR_RATING_RO_ROLLUP],0),MATCH(G$9,MMWR_RATING_RO_ROLLUP[#Headers],0)),"ERROR"))</f>
        <v>2565</v>
      </c>
      <c r="H42" s="158">
        <f>IF($B42=" ","",IFERROR(INDEX(MMWR_RATING_RO_ROLLUP[],MATCH($B42,MMWR_RATING_RO_ROLLUP[MMWR_RATING_RO_ROLLUP],0),MATCH(H$9,MMWR_RATING_RO_ROLLUP[#Headers],0)),"ERROR"))</f>
        <v>106.48017621149999</v>
      </c>
      <c r="I42" s="158">
        <f>IF($B42=" ","",IFERROR(INDEX(MMWR_RATING_RO_ROLLUP[],MATCH($B42,MMWR_RATING_RO_ROLLUP[MMWR_RATING_RO_ROLLUP],0),MATCH(I$9,MMWR_RATING_RO_ROLLUP[#Headers],0)),"ERROR"))</f>
        <v>126.926705653</v>
      </c>
      <c r="J42" s="42"/>
      <c r="K42" s="42"/>
      <c r="L42" s="42"/>
      <c r="M42" s="42"/>
      <c r="N42" s="28"/>
    </row>
    <row r="43" spans="1:14" x14ac:dyDescent="0.2">
      <c r="A43" s="25"/>
      <c r="B43" s="367" t="s">
        <v>751</v>
      </c>
      <c r="C43" s="368"/>
      <c r="D43" s="368"/>
      <c r="E43" s="368"/>
      <c r="F43" s="368"/>
      <c r="G43" s="368"/>
      <c r="H43" s="368"/>
      <c r="I43" s="368"/>
      <c r="J43" s="368"/>
      <c r="K43" s="368"/>
      <c r="L43" s="368"/>
      <c r="M43" s="380"/>
      <c r="N43" s="28"/>
    </row>
    <row r="44" spans="1:14" x14ac:dyDescent="0.2">
      <c r="A44" s="25"/>
      <c r="B44" s="45" t="s">
        <v>712</v>
      </c>
      <c r="C44" s="157">
        <f>IF($B44=" ","",IFERROR(INDEX(MMWR_RATING_RO_ROLLUP[],MATCH($B44,MMWR_RATING_RO_ROLLUP[MMWR_RATING_RO_ROLLUP],0),MATCH(C$9,MMWR_RATING_RO_ROLLUP[#Headers],0)),"ERROR"))</f>
        <v>8196</v>
      </c>
      <c r="D44" s="158">
        <f>IF($B44=" ","",IFERROR(INDEX(MMWR_RATING_RO_ROLLUP[],MATCH($B44,MMWR_RATING_RO_ROLLUP[MMWR_RATING_RO_ROLLUP],0),MATCH(D$9,MMWR_RATING_RO_ROLLUP[#Headers],0)),"ERROR"))</f>
        <v>80.289165446599995</v>
      </c>
      <c r="E44" s="159">
        <f>IF($B44=" ","",IFERROR(INDEX(MMWR_RATING_RO_ROLLUP[],MATCH($B44,MMWR_RATING_RO_ROLLUP[MMWR_RATING_RO_ROLLUP],0),MATCH(E$9,MMWR_RATING_RO_ROLLUP[#Headers],0))/$C44,"ERROR"))</f>
        <v>0.18862859931673986</v>
      </c>
      <c r="F44" s="157">
        <f>IF($B44=" ","",IFERROR(INDEX(MMWR_RATING_RO_ROLLUP[],MATCH($B44,MMWR_RATING_RO_ROLLUP[MMWR_RATING_RO_ROLLUP],0),MATCH(F$9,MMWR_RATING_RO_ROLLUP[#Headers],0)),"ERROR"))</f>
        <v>1519</v>
      </c>
      <c r="G44" s="157">
        <f>IF($B44=" ","",IFERROR(INDEX(MMWR_RATING_RO_ROLLUP[],MATCH($B44,MMWR_RATING_RO_ROLLUP[MMWR_RATING_RO_ROLLUP],0),MATCH(G$9,MMWR_RATING_RO_ROLLUP[#Headers],0)),"ERROR"))</f>
        <v>18851</v>
      </c>
      <c r="H44" s="158">
        <f>IF($B44=" ","",IFERROR(INDEX(MMWR_RATING_RO_ROLLUP[],MATCH($B44,MMWR_RATING_RO_ROLLUP[MMWR_RATING_RO_ROLLUP],0),MATCH(H$9,MMWR_RATING_RO_ROLLUP[#Headers],0)),"ERROR"))</f>
        <v>144.8926925609</v>
      </c>
      <c r="I44" s="158">
        <f>IF($B44=" ","",IFERROR(INDEX(MMWR_RATING_RO_ROLLUP[],MATCH($B44,MMWR_RATING_RO_ROLLUP[MMWR_RATING_RO_ROLLUP],0),MATCH(I$9,MMWR_RATING_RO_ROLLUP[#Headers],0)),"ERROR"))</f>
        <v>154.40666277650001</v>
      </c>
      <c r="J44" s="42"/>
      <c r="K44" s="42"/>
      <c r="L44" s="42"/>
      <c r="M44" s="42"/>
      <c r="N44" s="28"/>
    </row>
    <row r="45" spans="1:14" x14ac:dyDescent="0.2">
      <c r="A45" s="25"/>
      <c r="B45" s="46" t="s">
        <v>219</v>
      </c>
      <c r="C45" s="157">
        <f>IF($B45=" ","",IFERROR(INDEX(MMWR_RATING_RO_ROLLUP[],MATCH($B45,MMWR_RATING_RO_ROLLUP[MMWR_RATING_RO_ROLLUP],0),MATCH(C$9,MMWR_RATING_RO_ROLLUP[#Headers],0)),"ERROR"))</f>
        <v>3235</v>
      </c>
      <c r="D45" s="158">
        <f>IF($B45=" ","",IFERROR(INDEX(MMWR_RATING_RO_ROLLUP[],MATCH($B45,MMWR_RATING_RO_ROLLUP[MMWR_RATING_RO_ROLLUP],0),MATCH(D$9,MMWR_RATING_RO_ROLLUP[#Headers],0)),"ERROR"))</f>
        <v>82.297063369400007</v>
      </c>
      <c r="E45" s="159">
        <f>IF($B45=" ","",IFERROR(INDEX(MMWR_RATING_RO_ROLLUP[],MATCH($B45,MMWR_RATING_RO_ROLLUP[MMWR_RATING_RO_ROLLUP],0),MATCH(E$9,MMWR_RATING_RO_ROLLUP[#Headers],0))/$C45,"ERROR"))</f>
        <v>0.1910355486862442</v>
      </c>
      <c r="F45" s="157">
        <f>IF($B45=" ","",IFERROR(INDEX(MMWR_RATING_RO_ROLLUP[],MATCH($B45,MMWR_RATING_RO_ROLLUP[MMWR_RATING_RO_ROLLUP],0),MATCH(F$9,MMWR_RATING_RO_ROLLUP[#Headers],0)),"ERROR"))</f>
        <v>643</v>
      </c>
      <c r="G45" s="157">
        <f>IF($B45=" ","",IFERROR(INDEX(MMWR_RATING_RO_ROLLUP[],MATCH($B45,MMWR_RATING_RO_ROLLUP[MMWR_RATING_RO_ROLLUP],0),MATCH(G$9,MMWR_RATING_RO_ROLLUP[#Headers],0)),"ERROR"))</f>
        <v>9952</v>
      </c>
      <c r="H45" s="158">
        <f>IF($B45=" ","",IFERROR(INDEX(MMWR_RATING_RO_ROLLUP[],MATCH($B45,MMWR_RATING_RO_ROLLUP[MMWR_RATING_RO_ROLLUP],0),MATCH(H$9,MMWR_RATING_RO_ROLLUP[#Headers],0)),"ERROR"))</f>
        <v>149.90513219280001</v>
      </c>
      <c r="I45" s="158">
        <f>IF($B45=" ","",IFERROR(INDEX(MMWR_RATING_RO_ROLLUP[],MATCH($B45,MMWR_RATING_RO_ROLLUP[MMWR_RATING_RO_ROLLUP],0),MATCH(I$9,MMWR_RATING_RO_ROLLUP[#Headers],0)),"ERROR"))</f>
        <v>174.6094252412</v>
      </c>
      <c r="J45" s="42"/>
      <c r="K45" s="42"/>
      <c r="L45" s="42"/>
      <c r="M45" s="42"/>
      <c r="N45" s="28"/>
    </row>
    <row r="46" spans="1:14" x14ac:dyDescent="0.2">
      <c r="A46" s="25"/>
      <c r="B46" s="46" t="s">
        <v>221</v>
      </c>
      <c r="C46" s="157">
        <f>IF($B46=" ","",IFERROR(INDEX(MMWR_RATING_RO_ROLLUP[],MATCH($B46,MMWR_RATING_RO_ROLLUP[MMWR_RATING_RO_ROLLUP],0),MATCH(C$9,MMWR_RATING_RO_ROLLUP[#Headers],0)),"ERROR"))</f>
        <v>3504</v>
      </c>
      <c r="D46" s="158">
        <f>IF($B46=" ","",IFERROR(INDEX(MMWR_RATING_RO_ROLLUP[],MATCH($B46,MMWR_RATING_RO_ROLLUP[MMWR_RATING_RO_ROLLUP],0),MATCH(D$9,MMWR_RATING_RO_ROLLUP[#Headers],0)),"ERROR"))</f>
        <v>80.374714611900004</v>
      </c>
      <c r="E46" s="159">
        <f>IF($B46=" ","",IFERROR(INDEX(MMWR_RATING_RO_ROLLUP[],MATCH($B46,MMWR_RATING_RO_ROLLUP[MMWR_RATING_RO_ROLLUP],0),MATCH(E$9,MMWR_RATING_RO_ROLLUP[#Headers],0))/$C46,"ERROR"))</f>
        <v>0.20176940639269406</v>
      </c>
      <c r="F46" s="157">
        <f>IF($B46=" ","",IFERROR(INDEX(MMWR_RATING_RO_ROLLUP[],MATCH($B46,MMWR_RATING_RO_ROLLUP[MMWR_RATING_RO_ROLLUP],0),MATCH(F$9,MMWR_RATING_RO_ROLLUP[#Headers],0)),"ERROR"))</f>
        <v>695</v>
      </c>
      <c r="G46" s="157">
        <f>IF($B46=" ","",IFERROR(INDEX(MMWR_RATING_RO_ROLLUP[],MATCH($B46,MMWR_RATING_RO_ROLLUP[MMWR_RATING_RO_ROLLUP],0),MATCH(G$9,MMWR_RATING_RO_ROLLUP[#Headers],0)),"ERROR"))</f>
        <v>7187</v>
      </c>
      <c r="H46" s="158">
        <f>IF($B46=" ","",IFERROR(INDEX(MMWR_RATING_RO_ROLLUP[],MATCH($B46,MMWR_RATING_RO_ROLLUP[MMWR_RATING_RO_ROLLUP],0),MATCH(H$9,MMWR_RATING_RO_ROLLUP[#Headers],0)),"ERROR"))</f>
        <v>140.18561151079999</v>
      </c>
      <c r="I46" s="158">
        <f>IF($B46=" ","",IFERROR(INDEX(MMWR_RATING_RO_ROLLUP[],MATCH($B46,MMWR_RATING_RO_ROLLUP[MMWR_RATING_RO_ROLLUP],0),MATCH(I$9,MMWR_RATING_RO_ROLLUP[#Headers],0)),"ERROR"))</f>
        <v>127.63058299710001</v>
      </c>
      <c r="J46" s="42"/>
      <c r="K46" s="42"/>
      <c r="L46" s="42"/>
      <c r="M46" s="42"/>
      <c r="N46" s="28"/>
    </row>
    <row r="47" spans="1:14" x14ac:dyDescent="0.2">
      <c r="A47" s="25"/>
      <c r="B47" s="48" t="s">
        <v>317</v>
      </c>
      <c r="C47" s="157">
        <f>IF($B47=" ","",IFERROR(INDEX(MMWR_RATING_RO_ROLLUP[],MATCH($B47,MMWR_RATING_RO_ROLLUP[MMWR_RATING_RO_ROLLUP],0),MATCH(C$9,MMWR_RATING_RO_ROLLUP[#Headers],0)),"ERROR"))</f>
        <v>1457</v>
      </c>
      <c r="D47" s="158">
        <f>IF($B47=" ","",IFERROR(INDEX(MMWR_RATING_RO_ROLLUP[],MATCH($B47,MMWR_RATING_RO_ROLLUP[MMWR_RATING_RO_ROLLUP],0),MATCH(D$9,MMWR_RATING_RO_ROLLUP[#Headers],0)),"ERROR"))</f>
        <v>75.625257378200004</v>
      </c>
      <c r="E47" s="159">
        <f>IF($B47=" ","",IFERROR(INDEX(MMWR_RATING_RO_ROLLUP[],MATCH($B47,MMWR_RATING_RO_ROLLUP[MMWR_RATING_RO_ROLLUP],0),MATCH(E$9,MMWR_RATING_RO_ROLLUP[#Headers],0))/$C47,"ERROR"))</f>
        <v>0.15168153740562801</v>
      </c>
      <c r="F47" s="157">
        <f>IF($B47=" ","",IFERROR(INDEX(MMWR_RATING_RO_ROLLUP[],MATCH($B47,MMWR_RATING_RO_ROLLUP[MMWR_RATING_RO_ROLLUP],0),MATCH(F$9,MMWR_RATING_RO_ROLLUP[#Headers],0)),"ERROR"))</f>
        <v>181</v>
      </c>
      <c r="G47" s="157">
        <f>IF($B47=" ","",IFERROR(INDEX(MMWR_RATING_RO_ROLLUP[],MATCH($B47,MMWR_RATING_RO_ROLLUP[MMWR_RATING_RO_ROLLUP],0),MATCH(G$9,MMWR_RATING_RO_ROLLUP[#Headers],0)),"ERROR"))</f>
        <v>1712</v>
      </c>
      <c r="H47" s="158">
        <f>IF($B47=" ","",IFERROR(INDEX(MMWR_RATING_RO_ROLLUP[],MATCH($B47,MMWR_RATING_RO_ROLLUP[MMWR_RATING_RO_ROLLUP],0),MATCH(H$9,MMWR_RATING_RO_ROLLUP[#Headers],0)),"ERROR"))</f>
        <v>145.16022099450001</v>
      </c>
      <c r="I47" s="158">
        <f>IF($B47=" ","",IFERROR(INDEX(MMWR_RATING_RO_ROLLUP[],MATCH($B47,MMWR_RATING_RO_ROLLUP[MMWR_RATING_RO_ROLLUP],0),MATCH(I$9,MMWR_RATING_RO_ROLLUP[#Headers],0)),"ERROR"))</f>
        <v>149.3726635514</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A3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7" t="s">
        <v>1001</v>
      </c>
      <c r="D2" s="348"/>
      <c r="E2" s="348"/>
      <c r="F2" s="348"/>
      <c r="G2" s="348"/>
      <c r="H2" s="348"/>
      <c r="I2" s="348"/>
      <c r="J2" s="347" t="s">
        <v>309</v>
      </c>
      <c r="K2" s="348"/>
      <c r="L2" s="348"/>
      <c r="M2" s="349"/>
      <c r="N2" s="28"/>
    </row>
    <row r="3" spans="1:15" ht="24" customHeight="1" thickBot="1" x14ac:dyDescent="0.4">
      <c r="A3" s="25"/>
      <c r="B3" s="29"/>
      <c r="C3" s="350"/>
      <c r="D3" s="351"/>
      <c r="E3" s="351"/>
      <c r="F3" s="351"/>
      <c r="G3" s="351"/>
      <c r="H3" s="351"/>
      <c r="I3" s="351"/>
      <c r="J3" s="350" t="str">
        <f>Transformation!B4</f>
        <v>As of: June 20, 2015</v>
      </c>
      <c r="K3" s="351"/>
      <c r="L3" s="351"/>
      <c r="M3" s="352"/>
      <c r="N3" s="28"/>
    </row>
    <row r="4" spans="1:15" ht="51.75" customHeight="1" thickBot="1" x14ac:dyDescent="0.35">
      <c r="A4" s="30"/>
      <c r="B4" s="251" t="s">
        <v>465</v>
      </c>
      <c r="C4" s="353" t="s">
        <v>441</v>
      </c>
      <c r="D4" s="354"/>
      <c r="E4" s="354"/>
      <c r="F4" s="354"/>
      <c r="G4" s="354"/>
      <c r="H4" s="354"/>
      <c r="I4" s="354"/>
      <c r="J4" s="354"/>
      <c r="K4" s="354"/>
      <c r="L4" s="354"/>
      <c r="M4" s="355"/>
      <c r="N4" s="28"/>
    </row>
    <row r="5" spans="1:15" ht="27" customHeight="1" thickBot="1" x14ac:dyDescent="0.25">
      <c r="A5" s="30"/>
      <c r="B5" s="250" t="s">
        <v>379</v>
      </c>
      <c r="C5" s="356" t="s">
        <v>1065</v>
      </c>
      <c r="D5" s="357"/>
      <c r="E5" s="357"/>
      <c r="F5" s="357"/>
      <c r="G5" s="357"/>
      <c r="H5" s="357"/>
      <c r="I5" s="357"/>
      <c r="J5" s="357"/>
      <c r="K5" s="357"/>
      <c r="L5" s="357"/>
      <c r="M5" s="357"/>
      <c r="N5" s="357"/>
      <c r="O5" s="358"/>
    </row>
    <row r="6" spans="1:15" ht="55.5" customHeight="1" x14ac:dyDescent="0.2">
      <c r="A6" s="30"/>
      <c r="B6" s="31"/>
      <c r="C6" s="32" t="s">
        <v>198</v>
      </c>
      <c r="D6" s="359" t="s">
        <v>16</v>
      </c>
      <c r="E6" s="360"/>
      <c r="F6" s="33" t="s">
        <v>201</v>
      </c>
      <c r="G6" s="359" t="s">
        <v>206</v>
      </c>
      <c r="H6" s="361"/>
      <c r="I6" s="33" t="s">
        <v>204</v>
      </c>
      <c r="J6" s="50" t="s">
        <v>14</v>
      </c>
      <c r="K6" s="33" t="s">
        <v>209</v>
      </c>
      <c r="L6" s="365" t="s">
        <v>88</v>
      </c>
      <c r="M6" s="388"/>
      <c r="N6" s="28"/>
    </row>
    <row r="7" spans="1:15" ht="51.75" customHeight="1" x14ac:dyDescent="0.2">
      <c r="A7" s="30"/>
      <c r="B7" s="34"/>
      <c r="C7" s="35" t="s">
        <v>199</v>
      </c>
      <c r="D7" s="369" t="s">
        <v>0</v>
      </c>
      <c r="E7" s="370"/>
      <c r="F7" s="36" t="s">
        <v>202</v>
      </c>
      <c r="G7" s="371" t="s">
        <v>207</v>
      </c>
      <c r="H7" s="371"/>
      <c r="I7" s="36" t="s">
        <v>205</v>
      </c>
      <c r="J7" s="51" t="s">
        <v>19</v>
      </c>
      <c r="K7" s="36" t="s">
        <v>210</v>
      </c>
      <c r="L7" s="384" t="s">
        <v>90</v>
      </c>
      <c r="M7" s="385"/>
      <c r="N7" s="28"/>
    </row>
    <row r="8" spans="1:15" ht="51.75" customHeight="1" thickBot="1" x14ac:dyDescent="0.25">
      <c r="A8" s="25"/>
      <c r="B8" s="28"/>
      <c r="C8" s="37" t="s">
        <v>200</v>
      </c>
      <c r="D8" s="372" t="s">
        <v>18</v>
      </c>
      <c r="E8" s="373"/>
      <c r="F8" s="38" t="s">
        <v>203</v>
      </c>
      <c r="G8" s="374" t="s">
        <v>17</v>
      </c>
      <c r="H8" s="374"/>
      <c r="I8" s="38" t="s">
        <v>208</v>
      </c>
      <c r="J8" s="52" t="s">
        <v>87</v>
      </c>
      <c r="K8" s="38" t="s">
        <v>211</v>
      </c>
      <c r="L8" s="386" t="s">
        <v>89</v>
      </c>
      <c r="M8" s="387"/>
      <c r="N8" s="28"/>
    </row>
    <row r="9" spans="1:15" x14ac:dyDescent="0.2">
      <c r="A9" s="28"/>
      <c r="B9" s="39"/>
      <c r="C9" s="39" t="s">
        <v>731</v>
      </c>
      <c r="D9" s="39" t="s">
        <v>733</v>
      </c>
      <c r="E9" s="39" t="s">
        <v>732</v>
      </c>
      <c r="F9" s="39" t="s">
        <v>735</v>
      </c>
      <c r="G9" s="39" t="s">
        <v>734</v>
      </c>
      <c r="H9" s="39" t="s">
        <v>737</v>
      </c>
      <c r="I9" s="39" t="s">
        <v>736</v>
      </c>
      <c r="J9" s="39"/>
      <c r="K9" s="39"/>
      <c r="L9" s="39"/>
      <c r="M9" s="39"/>
      <c r="N9" s="39"/>
    </row>
    <row r="10" spans="1:15" ht="15.75" customHeight="1" x14ac:dyDescent="0.2">
      <c r="A10" s="25"/>
      <c r="B10" s="26"/>
      <c r="C10" s="375" t="s">
        <v>302</v>
      </c>
      <c r="D10" s="375"/>
      <c r="E10" s="375"/>
      <c r="F10" s="375"/>
      <c r="G10" s="375"/>
      <c r="H10" s="375"/>
      <c r="I10" s="375"/>
      <c r="J10" s="375"/>
      <c r="K10" s="375"/>
      <c r="L10" s="375"/>
      <c r="M10" s="379"/>
      <c r="N10" s="28"/>
    </row>
    <row r="11" spans="1:15" ht="63.75" customHeight="1" x14ac:dyDescent="0.2">
      <c r="A11" s="25"/>
      <c r="B11" s="26"/>
      <c r="C11" s="53" t="s">
        <v>234</v>
      </c>
      <c r="D11" s="53" t="s">
        <v>140</v>
      </c>
      <c r="E11" s="53" t="s">
        <v>235</v>
      </c>
      <c r="F11" s="53" t="s">
        <v>195</v>
      </c>
      <c r="G11" s="53" t="s">
        <v>212</v>
      </c>
      <c r="H11" s="53" t="s">
        <v>214</v>
      </c>
      <c r="I11" s="53" t="s">
        <v>215</v>
      </c>
      <c r="J11" s="381" t="s">
        <v>995</v>
      </c>
      <c r="K11" s="382"/>
      <c r="L11" s="382"/>
      <c r="M11" s="383"/>
      <c r="N11" s="28"/>
    </row>
    <row r="12" spans="1:15" x14ac:dyDescent="0.2">
      <c r="A12" s="25"/>
      <c r="B12" s="41" t="s">
        <v>746</v>
      </c>
      <c r="C12" s="157">
        <f>IF($B12=" ","",IFERROR(INDEX(MMWR_RATING_STATE_ROLLUP_VSC[],MATCH($B12,MMWR_RATING_STATE_ROLLUP_VSC[MMWR_RATING_STATE_ROLLUP_VSC],0),MATCH(C$9,MMWR_RATING_STATE_ROLLUP_VSC[#Headers],0)),"ERROR"))</f>
        <v>396512</v>
      </c>
      <c r="D12" s="158">
        <f>IF($B12=" ","",IFERROR(INDEX(MMWR_RATING_STATE_ROLLUP_VSC[],MATCH($B12,MMWR_RATING_STATE_ROLLUP_VSC[MMWR_RATING_STATE_ROLLUP_VSC],0),MATCH(D$9,MMWR_RATING_STATE_ROLLUP_VSC[#Headers],0)),"ERROR"))</f>
        <v>119.7443053426</v>
      </c>
      <c r="E12" s="162">
        <f>IF($B12=" ","",IFERROR(INDEX(MMWR_RATING_STATE_ROLLUP_VSC[],MATCH($B12,MMWR_RATING_STATE_ROLLUP_VSC[MMWR_RATING_STATE_ROLLUP_VSC],0),MATCH(E$9,MMWR_RATING_STATE_ROLLUP_VSC[#Headers],0))/$C12,"ERROR"))</f>
        <v>0.33381083044144944</v>
      </c>
      <c r="F12" s="157">
        <f>IF($B12=" ","",IFERROR(INDEX(MMWR_RATING_STATE_ROLLUP_VSC[],MATCH($B12,MMWR_RATING_STATE_ROLLUP_VSC[MMWR_RATING_STATE_ROLLUP_VSC],0),MATCH(F$9,MMWR_RATING_STATE_ROLLUP_VSC[#Headers],0)),"ERROR"))</f>
        <v>81454</v>
      </c>
      <c r="G12" s="157">
        <f>IF($B12=" ","",IFERROR(INDEX(MMWR_RATING_STATE_ROLLUP_VSC[],MATCH($B12,MMWR_RATING_STATE_ROLLUP_VSC[MMWR_RATING_STATE_ROLLUP_VSC],0),MATCH(G$9,MMWR_RATING_STATE_ROLLUP_VSC[#Headers],0)),"ERROR"))</f>
        <v>999645</v>
      </c>
      <c r="H12" s="158">
        <f>IF($B12=" ","",IFERROR(INDEX(MMWR_RATING_STATE_ROLLUP_VSC[],MATCH($B12,MMWR_RATING_STATE_ROLLUP_VSC[MMWR_RATING_STATE_ROLLUP_VSC],0),MATCH(H$9,MMWR_RATING_STATE_ROLLUP_VSC[#Headers],0)),"ERROR"))</f>
        <v>161.50890072920001</v>
      </c>
      <c r="I12" s="158">
        <f>IF($B12=" ","",IFERROR(INDEX(MMWR_RATING_STATE_ROLLUP_VSC[],MATCH($B12,MMWR_RATING_STATE_ROLLUP_VSC[MMWR_RATING_STATE_ROLLUP_VSC],0),MATCH(I$9,MMWR_RATING_STATE_ROLLUP_VSC[#Headers],0)),"ERROR"))</f>
        <v>177.1510606265</v>
      </c>
      <c r="J12" s="42"/>
      <c r="K12" s="42"/>
      <c r="L12" s="42"/>
      <c r="M12" s="42"/>
      <c r="N12" s="28"/>
    </row>
    <row r="13" spans="1:15" x14ac:dyDescent="0.2">
      <c r="A13" s="25"/>
      <c r="B13" s="367" t="s">
        <v>981</v>
      </c>
      <c r="C13" s="368"/>
      <c r="D13" s="368"/>
      <c r="E13" s="368"/>
      <c r="F13" s="368"/>
      <c r="G13" s="368"/>
      <c r="H13" s="368"/>
      <c r="I13" s="368"/>
      <c r="J13" s="368"/>
      <c r="K13" s="368"/>
      <c r="L13" s="368"/>
      <c r="M13" s="380"/>
      <c r="N13" s="28"/>
    </row>
    <row r="14" spans="1:15" x14ac:dyDescent="0.2">
      <c r="A14" s="25"/>
      <c r="B14" s="41" t="s">
        <v>1059</v>
      </c>
      <c r="C14" s="157">
        <f>IF($B14=" ","",IFERROR(INDEX(MMWR_RATING_STATE_ROLLUP_VSC[],MATCH($B14,MMWR_RATING_STATE_ROLLUP_VSC[MMWR_RATING_STATE_ROLLUP_VSC],0),MATCH(C$9,MMWR_RATING_STATE_ROLLUP_VSC[#Headers],0)),"ERROR"))</f>
        <v>361466</v>
      </c>
      <c r="D14" s="158">
        <f>IF($B14=" ","",IFERROR(INDEX(MMWR_RATING_STATE_ROLLUP_VSC[],MATCH($B14,MMWR_RATING_STATE_ROLLUP_VSC[MMWR_RATING_STATE_ROLLUP_VSC],0),MATCH(D$9,MMWR_RATING_STATE_ROLLUP_VSC[#Headers],0)),"ERROR"))</f>
        <v>124.6508274637</v>
      </c>
      <c r="E14" s="159">
        <f>IF($B14=" ","",IFERROR(INDEX(MMWR_RATING_STATE_ROLLUP_VSC[],MATCH($B14,MMWR_RATING_STATE_ROLLUP_VSC[MMWR_RATING_STATE_ROLLUP_VSC],0),MATCH(E$9,MMWR_RATING_STATE_ROLLUP_VSC[#Headers],0))/$C14,"ERROR"))</f>
        <v>0.35289349482385618</v>
      </c>
      <c r="F14" s="157">
        <f>IF($B14=" ","",IFERROR(INDEX(MMWR_RATING_STATE_ROLLUP_VSC[],MATCH($B14,MMWR_RATING_STATE_ROLLUP_VSC[MMWR_RATING_STATE_ROLLUP_VSC],0),MATCH(F$9,MMWR_RATING_STATE_ROLLUP_VSC[#Headers],0)),"ERROR"))</f>
        <v>70161</v>
      </c>
      <c r="G14" s="157">
        <f>IF($B14=" ","",IFERROR(INDEX(MMWR_RATING_STATE_ROLLUP_VSC[],MATCH($B14,MMWR_RATING_STATE_ROLLUP_VSC[MMWR_RATING_STATE_ROLLUP_VSC],0),MATCH(G$9,MMWR_RATING_STATE_ROLLUP_VSC[#Headers],0)),"ERROR"))</f>
        <v>851091</v>
      </c>
      <c r="H14" s="158">
        <f>IF($B14=" ","",IFERROR(INDEX(MMWR_RATING_STATE_ROLLUP_VSC[],MATCH($B14,MMWR_RATING_STATE_ROLLUP_VSC[MMWR_RATING_STATE_ROLLUP_VSC],0),MATCH(H$9,MMWR_RATING_STATE_ROLLUP_VSC[#Headers],0)),"ERROR"))</f>
        <v>174.4342013369</v>
      </c>
      <c r="I14" s="158">
        <f>IF($B14=" ","",IFERROR(INDEX(MMWR_RATING_STATE_ROLLUP_VSC[],MATCH($B14,MMWR_RATING_STATE_ROLLUP_VSC[MMWR_RATING_STATE_ROLLUP_VSC],0),MATCH(I$9,MMWR_RATING_STATE_ROLLUP_VSC[#Headers],0)),"ERROR"))</f>
        <v>193.2604927088</v>
      </c>
      <c r="J14" s="42"/>
      <c r="K14" s="42"/>
      <c r="L14" s="42"/>
      <c r="M14" s="42"/>
      <c r="N14" s="28"/>
    </row>
    <row r="15" spans="1:15" x14ac:dyDescent="0.2">
      <c r="A15" s="25"/>
      <c r="B15" s="253" t="str">
        <f>INDEX(DISTRICT_STATES[],MATCH($B$5,DISTRICT_RO[District],0),1)</f>
        <v>North Atlantic</v>
      </c>
      <c r="C15" s="157">
        <f>IF($B15=" ","",IFERROR(INDEX(MMWR_RATING_STATE_ROLLUP_VSC[],MATCH($B15,MMWR_RATING_STATE_ROLLUP_VSC[MMWR_RATING_STATE_ROLLUP_VSC],0),MATCH(C$9,MMWR_RATING_STATE_ROLLUP_VSC[#Headers],0)),"ERROR"))</f>
        <v>78114</v>
      </c>
      <c r="D15" s="158">
        <f>IF($B15=" ","",IFERROR(INDEX(MMWR_RATING_STATE_ROLLUP_VSC[],MATCH($B15,MMWR_RATING_STATE_ROLLUP_VSC[MMWR_RATING_STATE_ROLLUP_VSC],0),MATCH(D$9,MMWR_RATING_STATE_ROLLUP_VSC[#Headers],0)),"ERROR"))</f>
        <v>127.0328366234</v>
      </c>
      <c r="E15" s="159">
        <f>IF($B15=" ","",IFERROR(INDEX(MMWR_RATING_STATE_ROLLUP_VSC[],MATCH($B15,MMWR_RATING_STATE_ROLLUP_VSC[MMWR_RATING_STATE_ROLLUP_VSC],0),MATCH(E$9,MMWR_RATING_STATE_ROLLUP_VSC[#Headers],0))/$C15,"ERROR"))</f>
        <v>0.36606754230995725</v>
      </c>
      <c r="F15" s="157">
        <f>IF($B15=" ","",IFERROR(INDEX(MMWR_RATING_STATE_ROLLUP_VSC[],MATCH($B15,MMWR_RATING_STATE_ROLLUP_VSC[MMWR_RATING_STATE_ROLLUP_VSC],0),MATCH(F$9,MMWR_RATING_STATE_ROLLUP_VSC[#Headers],0)),"ERROR"))</f>
        <v>15323</v>
      </c>
      <c r="G15" s="157">
        <f>IF($B15=" ","",IFERROR(INDEX(MMWR_RATING_STATE_ROLLUP_VSC[],MATCH($B15,MMWR_RATING_STATE_ROLLUP_VSC[MMWR_RATING_STATE_ROLLUP_VSC],0),MATCH(G$9,MMWR_RATING_STATE_ROLLUP_VSC[#Headers],0)),"ERROR"))</f>
        <v>183027</v>
      </c>
      <c r="H15" s="158">
        <f>IF($B15=" ","",IFERROR(INDEX(MMWR_RATING_STATE_ROLLUP_VSC[],MATCH($B15,MMWR_RATING_STATE_ROLLUP_VSC[MMWR_RATING_STATE_ROLLUP_VSC],0),MATCH(H$9,MMWR_RATING_STATE_ROLLUP_VSC[#Headers],0)),"ERROR"))</f>
        <v>181.99601905630001</v>
      </c>
      <c r="I15" s="158">
        <f>IF($B15=" ","",IFERROR(INDEX(MMWR_RATING_STATE_ROLLUP_VSC[],MATCH($B15,MMWR_RATING_STATE_ROLLUP_VSC[MMWR_RATING_STATE_ROLLUP_VSC],0),MATCH(I$9,MMWR_RATING_STATE_ROLLUP_VSC[#Headers],0)),"ERROR"))</f>
        <v>202.9433690111</v>
      </c>
      <c r="J15" s="42"/>
      <c r="K15" s="42"/>
      <c r="L15" s="42"/>
      <c r="M15" s="42"/>
      <c r="N15" s="28"/>
    </row>
    <row r="16" spans="1:15" x14ac:dyDescent="0.2">
      <c r="A16" s="25"/>
      <c r="B16" s="8" t="str">
        <f>VLOOKUP($B$15,DISTRICT_STATES[],2,0)</f>
        <v>Connecticut</v>
      </c>
      <c r="C16" s="157">
        <f>IF($B16=" ","",IFERROR(INDEX(MMWR_RATING_STATE_ROLLUP_VSC[],MATCH($B16,MMWR_RATING_STATE_ROLLUP_VSC[MMWR_RATING_STATE_ROLLUP_VSC],0),MATCH(C$9,MMWR_RATING_STATE_ROLLUP_VSC[#Headers],0)),"ERROR"))</f>
        <v>2025</v>
      </c>
      <c r="D16" s="158">
        <f>IF($B16=" ","",IFERROR(INDEX(MMWR_RATING_STATE_ROLLUP_VSC[],MATCH($B16,MMWR_RATING_STATE_ROLLUP_VSC[MMWR_RATING_STATE_ROLLUP_VSC],0),MATCH(D$9,MMWR_RATING_STATE_ROLLUP_VSC[#Headers],0)),"ERROR"))</f>
        <v>97.8395061728</v>
      </c>
      <c r="E16" s="159">
        <f>IF($B16=" ","",IFERROR(INDEX(MMWR_RATING_STATE_ROLLUP_VSC[],MATCH($B16,MMWR_RATING_STATE_ROLLUP_VSC[MMWR_RATING_STATE_ROLLUP_VSC],0),MATCH(E$9,MMWR_RATING_STATE_ROLLUP_VSC[#Headers],0))/$C16,"ERROR"))</f>
        <v>0.26666666666666666</v>
      </c>
      <c r="F16" s="157">
        <f>IF($B16=" ","",IFERROR(INDEX(MMWR_RATING_STATE_ROLLUP_VSC[],MATCH($B16,MMWR_RATING_STATE_ROLLUP_VSC[MMWR_RATING_STATE_ROLLUP_VSC],0),MATCH(F$9,MMWR_RATING_STATE_ROLLUP_VSC[#Headers],0)),"ERROR"))</f>
        <v>328</v>
      </c>
      <c r="G16" s="157">
        <f>IF($B16=" ","",IFERROR(INDEX(MMWR_RATING_STATE_ROLLUP_VSC[],MATCH($B16,MMWR_RATING_STATE_ROLLUP_VSC[MMWR_RATING_STATE_ROLLUP_VSC],0),MATCH(G$9,MMWR_RATING_STATE_ROLLUP_VSC[#Headers],0)),"ERROR"))</f>
        <v>4971</v>
      </c>
      <c r="H16" s="158">
        <f>IF($B16=" ","",IFERROR(INDEX(MMWR_RATING_STATE_ROLLUP_VSC[],MATCH($B16,MMWR_RATING_STATE_ROLLUP_VSC[MMWR_RATING_STATE_ROLLUP_VSC],0),MATCH(H$9,MMWR_RATING_STATE_ROLLUP_VSC[#Headers],0)),"ERROR"))</f>
        <v>144.55487804879999</v>
      </c>
      <c r="I16" s="158">
        <f>IF($B16=" ","",IFERROR(INDEX(MMWR_RATING_STATE_ROLLUP_VSC[],MATCH($B16,MMWR_RATING_STATE_ROLLUP_VSC[MMWR_RATING_STATE_ROLLUP_VSC],0),MATCH(I$9,MMWR_RATING_STATE_ROLLUP_VSC[#Headers],0)),"ERROR"))</f>
        <v>155.33051699859999</v>
      </c>
      <c r="J16" s="42"/>
      <c r="K16" s="42"/>
      <c r="L16" s="42"/>
      <c r="M16" s="42"/>
      <c r="N16" s="28"/>
    </row>
    <row r="17" spans="1:14" x14ac:dyDescent="0.2">
      <c r="A17" s="25"/>
      <c r="B17" s="8" t="str">
        <f>VLOOKUP($B$15,DISTRICT_STATES[],3,0)</f>
        <v>Delaware</v>
      </c>
      <c r="C17" s="157">
        <f>IF($B17=" ","",IFERROR(INDEX(MMWR_RATING_STATE_ROLLUP_VSC[],MATCH($B17,MMWR_RATING_STATE_ROLLUP_VSC[MMWR_RATING_STATE_ROLLUP_VSC],0),MATCH(C$9,MMWR_RATING_STATE_ROLLUP_VSC[#Headers],0)),"ERROR"))</f>
        <v>1025</v>
      </c>
      <c r="D17" s="158">
        <f>IF($B17=" ","",IFERROR(INDEX(MMWR_RATING_STATE_ROLLUP_VSC[],MATCH($B17,MMWR_RATING_STATE_ROLLUP_VSC[MMWR_RATING_STATE_ROLLUP_VSC],0),MATCH(D$9,MMWR_RATING_STATE_ROLLUP_VSC[#Headers],0)),"ERROR"))</f>
        <v>142.70536585369999</v>
      </c>
      <c r="E17" s="159">
        <f>IF($B17=" ","",IFERROR(INDEX(MMWR_RATING_STATE_ROLLUP_VSC[],MATCH($B17,MMWR_RATING_STATE_ROLLUP_VSC[MMWR_RATING_STATE_ROLLUP_VSC],0),MATCH(E$9,MMWR_RATING_STATE_ROLLUP_VSC[#Headers],0))/$C17,"ERROR"))</f>
        <v>0.40975609756097559</v>
      </c>
      <c r="F17" s="157">
        <f>IF($B17=" ","",IFERROR(INDEX(MMWR_RATING_STATE_ROLLUP_VSC[],MATCH($B17,MMWR_RATING_STATE_ROLLUP_VSC[MMWR_RATING_STATE_ROLLUP_VSC],0),MATCH(F$9,MMWR_RATING_STATE_ROLLUP_VSC[#Headers],0)),"ERROR"))</f>
        <v>173</v>
      </c>
      <c r="G17" s="157">
        <f>IF($B17=" ","",IFERROR(INDEX(MMWR_RATING_STATE_ROLLUP_VSC[],MATCH($B17,MMWR_RATING_STATE_ROLLUP_VSC[MMWR_RATING_STATE_ROLLUP_VSC],0),MATCH(G$9,MMWR_RATING_STATE_ROLLUP_VSC[#Headers],0)),"ERROR"))</f>
        <v>2420</v>
      </c>
      <c r="H17" s="158">
        <f>IF($B17=" ","",IFERROR(INDEX(MMWR_RATING_STATE_ROLLUP_VSC[],MATCH($B17,MMWR_RATING_STATE_ROLLUP_VSC[MMWR_RATING_STATE_ROLLUP_VSC],0),MATCH(H$9,MMWR_RATING_STATE_ROLLUP_VSC[#Headers],0)),"ERROR"))</f>
        <v>237.323699422</v>
      </c>
      <c r="I17" s="158">
        <f>IF($B17=" ","",IFERROR(INDEX(MMWR_RATING_STATE_ROLLUP_VSC[],MATCH($B17,MMWR_RATING_STATE_ROLLUP_VSC[MMWR_RATING_STATE_ROLLUP_VSC],0),MATCH(I$9,MMWR_RATING_STATE_ROLLUP_VSC[#Headers],0)),"ERROR"))</f>
        <v>220.99008264459999</v>
      </c>
      <c r="J17" s="42"/>
      <c r="K17" s="42"/>
      <c r="L17" s="42"/>
      <c r="M17" s="42"/>
      <c r="N17" s="28"/>
    </row>
    <row r="18" spans="1:14" x14ac:dyDescent="0.2">
      <c r="A18" s="25"/>
      <c r="B18" s="8" t="str">
        <f>VLOOKUP($B$15,DISTRICT_STATES[],4,0)</f>
        <v>District of Columbia</v>
      </c>
      <c r="C18" s="157">
        <f>IF($B18=" ","",IFERROR(INDEX(MMWR_RATING_STATE_ROLLUP_VSC[],MATCH($B18,MMWR_RATING_STATE_ROLLUP_VSC[MMWR_RATING_STATE_ROLLUP_VSC],0),MATCH(C$9,MMWR_RATING_STATE_ROLLUP_VSC[#Headers],0)),"ERROR"))</f>
        <v>568</v>
      </c>
      <c r="D18" s="158">
        <f>IF($B18=" ","",IFERROR(INDEX(MMWR_RATING_STATE_ROLLUP_VSC[],MATCH($B18,MMWR_RATING_STATE_ROLLUP_VSC[MMWR_RATING_STATE_ROLLUP_VSC],0),MATCH(D$9,MMWR_RATING_STATE_ROLLUP_VSC[#Headers],0)),"ERROR"))</f>
        <v>137.2112676056</v>
      </c>
      <c r="E18" s="159">
        <f>IF($B18=" ","",IFERROR(INDEX(MMWR_RATING_STATE_ROLLUP_VSC[],MATCH($B18,MMWR_RATING_STATE_ROLLUP_VSC[MMWR_RATING_STATE_ROLLUP_VSC],0),MATCH(E$9,MMWR_RATING_STATE_ROLLUP_VSC[#Headers],0))/$C18,"ERROR"))</f>
        <v>0.40845070422535212</v>
      </c>
      <c r="F18" s="157">
        <f>IF($B18=" ","",IFERROR(INDEX(MMWR_RATING_STATE_ROLLUP_VSC[],MATCH($B18,MMWR_RATING_STATE_ROLLUP_VSC[MMWR_RATING_STATE_ROLLUP_VSC],0),MATCH(F$9,MMWR_RATING_STATE_ROLLUP_VSC[#Headers],0)),"ERROR"))</f>
        <v>97</v>
      </c>
      <c r="G18" s="157">
        <f>IF($B18=" ","",IFERROR(INDEX(MMWR_RATING_STATE_ROLLUP_VSC[],MATCH($B18,MMWR_RATING_STATE_ROLLUP_VSC[MMWR_RATING_STATE_ROLLUP_VSC],0),MATCH(G$9,MMWR_RATING_STATE_ROLLUP_VSC[#Headers],0)),"ERROR"))</f>
        <v>1176</v>
      </c>
      <c r="H18" s="158">
        <f>IF($B18=" ","",IFERROR(INDEX(MMWR_RATING_STATE_ROLLUP_VSC[],MATCH($B18,MMWR_RATING_STATE_ROLLUP_VSC[MMWR_RATING_STATE_ROLLUP_VSC],0),MATCH(H$9,MMWR_RATING_STATE_ROLLUP_VSC[#Headers],0)),"ERROR"))</f>
        <v>171.8762886598</v>
      </c>
      <c r="I18" s="158">
        <f>IF($B18=" ","",IFERROR(INDEX(MMWR_RATING_STATE_ROLLUP_VSC[],MATCH($B18,MMWR_RATING_STATE_ROLLUP_VSC[MMWR_RATING_STATE_ROLLUP_VSC],0),MATCH(I$9,MMWR_RATING_STATE_ROLLUP_VSC[#Headers],0)),"ERROR"))</f>
        <v>217.71003401359999</v>
      </c>
      <c r="J18" s="42"/>
      <c r="K18" s="42"/>
      <c r="L18" s="42"/>
      <c r="M18" s="42"/>
      <c r="N18" s="28"/>
    </row>
    <row r="19" spans="1:14" x14ac:dyDescent="0.2">
      <c r="A19" s="25"/>
      <c r="B19" s="8" t="str">
        <f>VLOOKUP($B$15,DISTRICT_STATES[],5,0)</f>
        <v>Maine</v>
      </c>
      <c r="C19" s="157">
        <f>IF($B19=" ","",IFERROR(INDEX(MMWR_RATING_STATE_ROLLUP_VSC[],MATCH($B19,MMWR_RATING_STATE_ROLLUP_VSC[MMWR_RATING_STATE_ROLLUP_VSC],0),MATCH(C$9,MMWR_RATING_STATE_ROLLUP_VSC[#Headers],0)),"ERROR"))</f>
        <v>1300</v>
      </c>
      <c r="D19" s="158">
        <f>IF($B19=" ","",IFERROR(INDEX(MMWR_RATING_STATE_ROLLUP_VSC[],MATCH($B19,MMWR_RATING_STATE_ROLLUP_VSC[MMWR_RATING_STATE_ROLLUP_VSC],0),MATCH(D$9,MMWR_RATING_STATE_ROLLUP_VSC[#Headers],0)),"ERROR"))</f>
        <v>93.783846153799999</v>
      </c>
      <c r="E19" s="159">
        <f>IF($B19=" ","",IFERROR(INDEX(MMWR_RATING_STATE_ROLLUP_VSC[],MATCH($B19,MMWR_RATING_STATE_ROLLUP_VSC[MMWR_RATING_STATE_ROLLUP_VSC],0),MATCH(E$9,MMWR_RATING_STATE_ROLLUP_VSC[#Headers],0))/$C19,"ERROR"))</f>
        <v>0.21076923076923076</v>
      </c>
      <c r="F19" s="157">
        <f>IF($B19=" ","",IFERROR(INDEX(MMWR_RATING_STATE_ROLLUP_VSC[],MATCH($B19,MMWR_RATING_STATE_ROLLUP_VSC[MMWR_RATING_STATE_ROLLUP_VSC],0),MATCH(F$9,MMWR_RATING_STATE_ROLLUP_VSC[#Headers],0)),"ERROR"))</f>
        <v>233</v>
      </c>
      <c r="G19" s="157">
        <f>IF($B19=" ","",IFERROR(INDEX(MMWR_RATING_STATE_ROLLUP_VSC[],MATCH($B19,MMWR_RATING_STATE_ROLLUP_VSC[MMWR_RATING_STATE_ROLLUP_VSC],0),MATCH(G$9,MMWR_RATING_STATE_ROLLUP_VSC[#Headers],0)),"ERROR"))</f>
        <v>3286</v>
      </c>
      <c r="H19" s="158">
        <f>IF($B19=" ","",IFERROR(INDEX(MMWR_RATING_STATE_ROLLUP_VSC[],MATCH($B19,MMWR_RATING_STATE_ROLLUP_VSC[MMWR_RATING_STATE_ROLLUP_VSC],0),MATCH(H$9,MMWR_RATING_STATE_ROLLUP_VSC[#Headers],0)),"ERROR"))</f>
        <v>159.23175965670001</v>
      </c>
      <c r="I19" s="158">
        <f>IF($B19=" ","",IFERROR(INDEX(MMWR_RATING_STATE_ROLLUP_VSC[],MATCH($B19,MMWR_RATING_STATE_ROLLUP_VSC[MMWR_RATING_STATE_ROLLUP_VSC],0),MATCH(I$9,MMWR_RATING_STATE_ROLLUP_VSC[#Headers],0)),"ERROR"))</f>
        <v>124.736153378</v>
      </c>
      <c r="J19" s="42"/>
      <c r="K19" s="42"/>
      <c r="L19" s="42"/>
      <c r="M19" s="42"/>
      <c r="N19" s="28"/>
    </row>
    <row r="20" spans="1:14" x14ac:dyDescent="0.2">
      <c r="A20" s="25"/>
      <c r="B20" s="8" t="str">
        <f>VLOOKUP($B$15,DISTRICT_STATES[],6,0)</f>
        <v>Maryland</v>
      </c>
      <c r="C20" s="157">
        <f>IF($B20=" ","",IFERROR(INDEX(MMWR_RATING_STATE_ROLLUP_VSC[],MATCH($B20,MMWR_RATING_STATE_ROLLUP_VSC[MMWR_RATING_STATE_ROLLUP_VSC],0),MATCH(C$9,MMWR_RATING_STATE_ROLLUP_VSC[#Headers],0)),"ERROR"))</f>
        <v>6526</v>
      </c>
      <c r="D20" s="158">
        <f>IF($B20=" ","",IFERROR(INDEX(MMWR_RATING_STATE_ROLLUP_VSC[],MATCH($B20,MMWR_RATING_STATE_ROLLUP_VSC[MMWR_RATING_STATE_ROLLUP_VSC],0),MATCH(D$9,MMWR_RATING_STATE_ROLLUP_VSC[#Headers],0)),"ERROR"))</f>
        <v>146.48406374499999</v>
      </c>
      <c r="E20" s="159">
        <f>IF($B20=" ","",IFERROR(INDEX(MMWR_RATING_STATE_ROLLUP_VSC[],MATCH($B20,MMWR_RATING_STATE_ROLLUP_VSC[MMWR_RATING_STATE_ROLLUP_VSC],0),MATCH(E$9,MMWR_RATING_STATE_ROLLUP_VSC[#Headers],0))/$C20,"ERROR"))</f>
        <v>0.41939932577382777</v>
      </c>
      <c r="F20" s="157">
        <f>IF($B20=" ","",IFERROR(INDEX(MMWR_RATING_STATE_ROLLUP_VSC[],MATCH($B20,MMWR_RATING_STATE_ROLLUP_VSC[MMWR_RATING_STATE_ROLLUP_VSC],0),MATCH(F$9,MMWR_RATING_STATE_ROLLUP_VSC[#Headers],0)),"ERROR"))</f>
        <v>1515</v>
      </c>
      <c r="G20" s="157">
        <f>IF($B20=" ","",IFERROR(INDEX(MMWR_RATING_STATE_ROLLUP_VSC[],MATCH($B20,MMWR_RATING_STATE_ROLLUP_VSC[MMWR_RATING_STATE_ROLLUP_VSC],0),MATCH(G$9,MMWR_RATING_STATE_ROLLUP_VSC[#Headers],0)),"ERROR"))</f>
        <v>15310</v>
      </c>
      <c r="H20" s="158">
        <f>IF($B20=" ","",IFERROR(INDEX(MMWR_RATING_STATE_ROLLUP_VSC[],MATCH($B20,MMWR_RATING_STATE_ROLLUP_VSC[MMWR_RATING_STATE_ROLLUP_VSC],0),MATCH(H$9,MMWR_RATING_STATE_ROLLUP_VSC[#Headers],0)),"ERROR"))</f>
        <v>227.8712871287</v>
      </c>
      <c r="I20" s="158">
        <f>IF($B20=" ","",IFERROR(INDEX(MMWR_RATING_STATE_ROLLUP_VSC[],MATCH($B20,MMWR_RATING_STATE_ROLLUP_VSC[MMWR_RATING_STATE_ROLLUP_VSC],0),MATCH(I$9,MMWR_RATING_STATE_ROLLUP_VSC[#Headers],0)),"ERROR"))</f>
        <v>244.6485303723</v>
      </c>
      <c r="J20" s="42"/>
      <c r="K20" s="42"/>
      <c r="L20" s="42"/>
      <c r="M20" s="42"/>
      <c r="N20" s="28"/>
    </row>
    <row r="21" spans="1:14" x14ac:dyDescent="0.2">
      <c r="A21" s="25"/>
      <c r="B21" s="8" t="str">
        <f>VLOOKUP($B$15,DISTRICT_STATES[],7,0)</f>
        <v>Massachusetts</v>
      </c>
      <c r="C21" s="157">
        <f>IF($B21=" ","",IFERROR(INDEX(MMWR_RATING_STATE_ROLLUP_VSC[],MATCH($B21,MMWR_RATING_STATE_ROLLUP_VSC[MMWR_RATING_STATE_ROLLUP_VSC],0),MATCH(C$9,MMWR_RATING_STATE_ROLLUP_VSC[#Headers],0)),"ERROR"))</f>
        <v>4726</v>
      </c>
      <c r="D21" s="158">
        <f>IF($B21=" ","",IFERROR(INDEX(MMWR_RATING_STATE_ROLLUP_VSC[],MATCH($B21,MMWR_RATING_STATE_ROLLUP_VSC[MMWR_RATING_STATE_ROLLUP_VSC],0),MATCH(D$9,MMWR_RATING_STATE_ROLLUP_VSC[#Headers],0)),"ERROR"))</f>
        <v>124.02814219210001</v>
      </c>
      <c r="E21" s="159">
        <f>IF($B21=" ","",IFERROR(INDEX(MMWR_RATING_STATE_ROLLUP_VSC[],MATCH($B21,MMWR_RATING_STATE_ROLLUP_VSC[MMWR_RATING_STATE_ROLLUP_VSC],0),MATCH(E$9,MMWR_RATING_STATE_ROLLUP_VSC[#Headers],0))/$C21,"ERROR"))</f>
        <v>0.33283961066440965</v>
      </c>
      <c r="F21" s="157">
        <f>IF($B21=" ","",IFERROR(INDEX(MMWR_RATING_STATE_ROLLUP_VSC[],MATCH($B21,MMWR_RATING_STATE_ROLLUP_VSC[MMWR_RATING_STATE_ROLLUP_VSC],0),MATCH(F$9,MMWR_RATING_STATE_ROLLUP_VSC[#Headers],0)),"ERROR"))</f>
        <v>769</v>
      </c>
      <c r="G21" s="157">
        <f>IF($B21=" ","",IFERROR(INDEX(MMWR_RATING_STATE_ROLLUP_VSC[],MATCH($B21,MMWR_RATING_STATE_ROLLUP_VSC[MMWR_RATING_STATE_ROLLUP_VSC],0),MATCH(G$9,MMWR_RATING_STATE_ROLLUP_VSC[#Headers],0)),"ERROR"))</f>
        <v>11056</v>
      </c>
      <c r="H21" s="158">
        <f>IF($B21=" ","",IFERROR(INDEX(MMWR_RATING_STATE_ROLLUP_VSC[],MATCH($B21,MMWR_RATING_STATE_ROLLUP_VSC[MMWR_RATING_STATE_ROLLUP_VSC],0),MATCH(H$9,MMWR_RATING_STATE_ROLLUP_VSC[#Headers],0)),"ERROR"))</f>
        <v>198.69960988299999</v>
      </c>
      <c r="I21" s="158">
        <f>IF($B21=" ","",IFERROR(INDEX(MMWR_RATING_STATE_ROLLUP_VSC[],MATCH($B21,MMWR_RATING_STATE_ROLLUP_VSC[MMWR_RATING_STATE_ROLLUP_VSC],0),MATCH(I$9,MMWR_RATING_STATE_ROLLUP_VSC[#Headers],0)),"ERROR"))</f>
        <v>201.6444464544</v>
      </c>
      <c r="J21" s="42"/>
      <c r="K21" s="42"/>
      <c r="L21" s="42"/>
      <c r="M21" s="42"/>
      <c r="N21" s="28"/>
    </row>
    <row r="22" spans="1:14" x14ac:dyDescent="0.2">
      <c r="A22" s="25"/>
      <c r="B22" s="8" t="str">
        <f>VLOOKUP($B$15,DISTRICT_STATES[],8,0)</f>
        <v>New Hampshire</v>
      </c>
      <c r="C22" s="157">
        <f>IF($B22=" ","",IFERROR(INDEX(MMWR_RATING_STATE_ROLLUP_VSC[],MATCH($B22,MMWR_RATING_STATE_ROLLUP_VSC[MMWR_RATING_STATE_ROLLUP_VSC],0),MATCH(C$9,MMWR_RATING_STATE_ROLLUP_VSC[#Headers],0)),"ERROR"))</f>
        <v>1313</v>
      </c>
      <c r="D22" s="158">
        <f>IF($B22=" ","",IFERROR(INDEX(MMWR_RATING_STATE_ROLLUP_VSC[],MATCH($B22,MMWR_RATING_STATE_ROLLUP_VSC[MMWR_RATING_STATE_ROLLUP_VSC],0),MATCH(D$9,MMWR_RATING_STATE_ROLLUP_VSC[#Headers],0)),"ERROR"))</f>
        <v>109.6549885758</v>
      </c>
      <c r="E22" s="159">
        <f>IF($B22=" ","",IFERROR(INDEX(MMWR_RATING_STATE_ROLLUP_VSC[],MATCH($B22,MMWR_RATING_STATE_ROLLUP_VSC[MMWR_RATING_STATE_ROLLUP_VSC],0),MATCH(E$9,MMWR_RATING_STATE_ROLLUP_VSC[#Headers],0))/$C22,"ERROR"))</f>
        <v>0.26656511805026656</v>
      </c>
      <c r="F22" s="157">
        <f>IF($B22=" ","",IFERROR(INDEX(MMWR_RATING_STATE_ROLLUP_VSC[],MATCH($B22,MMWR_RATING_STATE_ROLLUP_VSC[MMWR_RATING_STATE_ROLLUP_VSC],0),MATCH(F$9,MMWR_RATING_STATE_ROLLUP_VSC[#Headers],0)),"ERROR"))</f>
        <v>269</v>
      </c>
      <c r="G22" s="157">
        <f>IF($B22=" ","",IFERROR(INDEX(MMWR_RATING_STATE_ROLLUP_VSC[],MATCH($B22,MMWR_RATING_STATE_ROLLUP_VSC[MMWR_RATING_STATE_ROLLUP_VSC],0),MATCH(G$9,MMWR_RATING_STATE_ROLLUP_VSC[#Headers],0)),"ERROR"))</f>
        <v>3000</v>
      </c>
      <c r="H22" s="158">
        <f>IF($B22=" ","",IFERROR(INDEX(MMWR_RATING_STATE_ROLLUP_VSC[],MATCH($B22,MMWR_RATING_STATE_ROLLUP_VSC[MMWR_RATING_STATE_ROLLUP_VSC],0),MATCH(H$9,MMWR_RATING_STATE_ROLLUP_VSC[#Headers],0)),"ERROR"))</f>
        <v>157.90334572489999</v>
      </c>
      <c r="I22" s="158">
        <f>IF($B22=" ","",IFERROR(INDEX(MMWR_RATING_STATE_ROLLUP_VSC[],MATCH($B22,MMWR_RATING_STATE_ROLLUP_VSC[MMWR_RATING_STATE_ROLLUP_VSC],0),MATCH(I$9,MMWR_RATING_STATE_ROLLUP_VSC[#Headers],0)),"ERROR"))</f>
        <v>179.84233333329999</v>
      </c>
      <c r="J22" s="42"/>
      <c r="K22" s="42"/>
      <c r="L22" s="42"/>
      <c r="M22" s="42"/>
      <c r="N22" s="28"/>
    </row>
    <row r="23" spans="1:14" x14ac:dyDescent="0.2">
      <c r="A23" s="25"/>
      <c r="B23" s="8" t="str">
        <f>VLOOKUP($B$15,DISTRICT_STATES[],9,0)</f>
        <v>New Jersey</v>
      </c>
      <c r="C23" s="157">
        <f>IF($B23=" ","",IFERROR(INDEX(MMWR_RATING_STATE_ROLLUP_VSC[],MATCH($B23,MMWR_RATING_STATE_ROLLUP_VSC[MMWR_RATING_STATE_ROLLUP_VSC],0),MATCH(C$9,MMWR_RATING_STATE_ROLLUP_VSC[#Headers],0)),"ERROR"))</f>
        <v>4530</v>
      </c>
      <c r="D23" s="158">
        <f>IF($B23=" ","",IFERROR(INDEX(MMWR_RATING_STATE_ROLLUP_VSC[],MATCH($B23,MMWR_RATING_STATE_ROLLUP_VSC[MMWR_RATING_STATE_ROLLUP_VSC],0),MATCH(D$9,MMWR_RATING_STATE_ROLLUP_VSC[#Headers],0)),"ERROR"))</f>
        <v>129.29845474609999</v>
      </c>
      <c r="E23" s="159">
        <f>IF($B23=" ","",IFERROR(INDEX(MMWR_RATING_STATE_ROLLUP_VSC[],MATCH($B23,MMWR_RATING_STATE_ROLLUP_VSC[MMWR_RATING_STATE_ROLLUP_VSC],0),MATCH(E$9,MMWR_RATING_STATE_ROLLUP_VSC[#Headers],0))/$C23,"ERROR"))</f>
        <v>0.39227373068432669</v>
      </c>
      <c r="F23" s="157">
        <f>IF($B23=" ","",IFERROR(INDEX(MMWR_RATING_STATE_ROLLUP_VSC[],MATCH($B23,MMWR_RATING_STATE_ROLLUP_VSC[MMWR_RATING_STATE_ROLLUP_VSC],0),MATCH(F$9,MMWR_RATING_STATE_ROLLUP_VSC[#Headers],0)),"ERROR"))</f>
        <v>796</v>
      </c>
      <c r="G23" s="157">
        <f>IF($B23=" ","",IFERROR(INDEX(MMWR_RATING_STATE_ROLLUP_VSC[],MATCH($B23,MMWR_RATING_STATE_ROLLUP_VSC[MMWR_RATING_STATE_ROLLUP_VSC],0),MATCH(G$9,MMWR_RATING_STATE_ROLLUP_VSC[#Headers],0)),"ERROR"))</f>
        <v>9936</v>
      </c>
      <c r="H23" s="158">
        <f>IF($B23=" ","",IFERROR(INDEX(MMWR_RATING_STATE_ROLLUP_VSC[],MATCH($B23,MMWR_RATING_STATE_ROLLUP_VSC[MMWR_RATING_STATE_ROLLUP_VSC],0),MATCH(H$9,MMWR_RATING_STATE_ROLLUP_VSC[#Headers],0)),"ERROR"))</f>
        <v>188.88567839199999</v>
      </c>
      <c r="I23" s="158">
        <f>IF($B23=" ","",IFERROR(INDEX(MMWR_RATING_STATE_ROLLUP_VSC[],MATCH($B23,MMWR_RATING_STATE_ROLLUP_VSC[MMWR_RATING_STATE_ROLLUP_VSC],0),MATCH(I$9,MMWR_RATING_STATE_ROLLUP_VSC[#Headers],0)),"ERROR"))</f>
        <v>196.57045088570001</v>
      </c>
      <c r="J23" s="42"/>
      <c r="K23" s="42"/>
      <c r="L23" s="42"/>
      <c r="M23" s="42"/>
      <c r="N23" s="28"/>
    </row>
    <row r="24" spans="1:14" x14ac:dyDescent="0.2">
      <c r="A24" s="25"/>
      <c r="B24" s="8" t="str">
        <f>VLOOKUP($B$15,DISTRICT_STATES[],10,0)</f>
        <v>New York</v>
      </c>
      <c r="C24" s="157">
        <f>IF($B24=" ","",IFERROR(INDEX(MMWR_RATING_STATE_ROLLUP_VSC[],MATCH($B24,MMWR_RATING_STATE_ROLLUP_VSC[MMWR_RATING_STATE_ROLLUP_VSC],0),MATCH(C$9,MMWR_RATING_STATE_ROLLUP_VSC[#Headers],0)),"ERROR"))</f>
        <v>10072</v>
      </c>
      <c r="D24" s="158">
        <f>IF($B24=" ","",IFERROR(INDEX(MMWR_RATING_STATE_ROLLUP_VSC[],MATCH($B24,MMWR_RATING_STATE_ROLLUP_VSC[MMWR_RATING_STATE_ROLLUP_VSC],0),MATCH(D$9,MMWR_RATING_STATE_ROLLUP_VSC[#Headers],0)),"ERROR"))</f>
        <v>133.81830818110001</v>
      </c>
      <c r="E24" s="159">
        <f>IF($B24=" ","",IFERROR(INDEX(MMWR_RATING_STATE_ROLLUP_VSC[],MATCH($B24,MMWR_RATING_STATE_ROLLUP_VSC[MMWR_RATING_STATE_ROLLUP_VSC],0),MATCH(E$9,MMWR_RATING_STATE_ROLLUP_VSC[#Headers],0))/$C24,"ERROR"))</f>
        <v>0.39614773629864974</v>
      </c>
      <c r="F24" s="157">
        <f>IF($B24=" ","",IFERROR(INDEX(MMWR_RATING_STATE_ROLLUP_VSC[],MATCH($B24,MMWR_RATING_STATE_ROLLUP_VSC[MMWR_RATING_STATE_ROLLUP_VSC],0),MATCH(F$9,MMWR_RATING_STATE_ROLLUP_VSC[#Headers],0)),"ERROR"))</f>
        <v>2348</v>
      </c>
      <c r="G24" s="157">
        <f>IF($B24=" ","",IFERROR(INDEX(MMWR_RATING_STATE_ROLLUP_VSC[],MATCH($B24,MMWR_RATING_STATE_ROLLUP_VSC[MMWR_RATING_STATE_ROLLUP_VSC],0),MATCH(G$9,MMWR_RATING_STATE_ROLLUP_VSC[#Headers],0)),"ERROR"))</f>
        <v>23299</v>
      </c>
      <c r="H24" s="158">
        <f>IF($B24=" ","",IFERROR(INDEX(MMWR_RATING_STATE_ROLLUP_VSC[],MATCH($B24,MMWR_RATING_STATE_ROLLUP_VSC[MMWR_RATING_STATE_ROLLUP_VSC],0),MATCH(H$9,MMWR_RATING_STATE_ROLLUP_VSC[#Headers],0)),"ERROR"))</f>
        <v>181.32240204429999</v>
      </c>
      <c r="I24" s="158">
        <f>IF($B24=" ","",IFERROR(INDEX(MMWR_RATING_STATE_ROLLUP_VSC[],MATCH($B24,MMWR_RATING_STATE_ROLLUP_VSC[MMWR_RATING_STATE_ROLLUP_VSC],0),MATCH(I$9,MMWR_RATING_STATE_ROLLUP_VSC[#Headers],0)),"ERROR"))</f>
        <v>204.68191767889999</v>
      </c>
      <c r="J24" s="42"/>
      <c r="K24" s="42"/>
      <c r="L24" s="42"/>
      <c r="M24" s="42"/>
      <c r="N24" s="28"/>
    </row>
    <row r="25" spans="1:14" x14ac:dyDescent="0.2">
      <c r="A25" s="25"/>
      <c r="B25" s="8" t="str">
        <f>VLOOKUP($B$15,DISTRICT_STATES[],11,0)</f>
        <v>North Carolina</v>
      </c>
      <c r="C25" s="157">
        <f>IF($B25=" ","",IFERROR(INDEX(MMWR_RATING_STATE_ROLLUP_VSC[],MATCH($B25,MMWR_RATING_STATE_ROLLUP_VSC[MMWR_RATING_STATE_ROLLUP_VSC],0),MATCH(C$9,MMWR_RATING_STATE_ROLLUP_VSC[#Headers],0)),"ERROR"))</f>
        <v>19275</v>
      </c>
      <c r="D25" s="158">
        <f>IF($B25=" ","",IFERROR(INDEX(MMWR_RATING_STATE_ROLLUP_VSC[],MATCH($B25,MMWR_RATING_STATE_ROLLUP_VSC[MMWR_RATING_STATE_ROLLUP_VSC],0),MATCH(D$9,MMWR_RATING_STATE_ROLLUP_VSC[#Headers],0)),"ERROR"))</f>
        <v>128.06677042800001</v>
      </c>
      <c r="E25" s="159">
        <f>IF($B25=" ","",IFERROR(INDEX(MMWR_RATING_STATE_ROLLUP_VSC[],MATCH($B25,MMWR_RATING_STATE_ROLLUP_VSC[MMWR_RATING_STATE_ROLLUP_VSC],0),MATCH(E$9,MMWR_RATING_STATE_ROLLUP_VSC[#Headers],0))/$C25,"ERROR"))</f>
        <v>0.37597924773022051</v>
      </c>
      <c r="F25" s="157">
        <f>IF($B25=" ","",IFERROR(INDEX(MMWR_RATING_STATE_ROLLUP_VSC[],MATCH($B25,MMWR_RATING_STATE_ROLLUP_VSC[MMWR_RATING_STATE_ROLLUP_VSC],0),MATCH(F$9,MMWR_RATING_STATE_ROLLUP_VSC[#Headers],0)),"ERROR"))</f>
        <v>3582</v>
      </c>
      <c r="G25" s="157">
        <f>IF($B25=" ","",IFERROR(INDEX(MMWR_RATING_STATE_ROLLUP_VSC[],MATCH($B25,MMWR_RATING_STATE_ROLLUP_VSC[MMWR_RATING_STATE_ROLLUP_VSC],0),MATCH(G$9,MMWR_RATING_STATE_ROLLUP_VSC[#Headers],0)),"ERROR"))</f>
        <v>43186</v>
      </c>
      <c r="H25" s="158">
        <f>IF($B25=" ","",IFERROR(INDEX(MMWR_RATING_STATE_ROLLUP_VSC[],MATCH($B25,MMWR_RATING_STATE_ROLLUP_VSC[MMWR_RATING_STATE_ROLLUP_VSC],0),MATCH(H$9,MMWR_RATING_STATE_ROLLUP_VSC[#Headers],0)),"ERROR"))</f>
        <v>178.847012842</v>
      </c>
      <c r="I25" s="158">
        <f>IF($B25=" ","",IFERROR(INDEX(MMWR_RATING_STATE_ROLLUP_VSC[],MATCH($B25,MMWR_RATING_STATE_ROLLUP_VSC[MMWR_RATING_STATE_ROLLUP_VSC],0),MATCH(I$9,MMWR_RATING_STATE_ROLLUP_VSC[#Headers],0)),"ERROR"))</f>
        <v>202.5099337748</v>
      </c>
      <c r="J25" s="42"/>
      <c r="K25" s="42"/>
      <c r="L25" s="42"/>
      <c r="M25" s="42"/>
      <c r="N25" s="28"/>
    </row>
    <row r="26" spans="1:14" x14ac:dyDescent="0.2">
      <c r="A26" s="25"/>
      <c r="B26" s="8" t="str">
        <f>VLOOKUP($B$15,DISTRICT_STATES[],12,0)</f>
        <v>Pennsylvania</v>
      </c>
      <c r="C26" s="157">
        <f>IF($B26=" ","",IFERROR(INDEX(MMWR_RATING_STATE_ROLLUP_VSC[],MATCH($B26,MMWR_RATING_STATE_ROLLUP_VSC[MMWR_RATING_STATE_ROLLUP_VSC],0),MATCH(C$9,MMWR_RATING_STATE_ROLLUP_VSC[#Headers],0)),"ERROR"))</f>
        <v>9895</v>
      </c>
      <c r="D26" s="158">
        <f>IF($B26=" ","",IFERROR(INDEX(MMWR_RATING_STATE_ROLLUP_VSC[],MATCH($B26,MMWR_RATING_STATE_ROLLUP_VSC[MMWR_RATING_STATE_ROLLUP_VSC],0),MATCH(D$9,MMWR_RATING_STATE_ROLLUP_VSC[#Headers],0)),"ERROR"))</f>
        <v>131.92784234460001</v>
      </c>
      <c r="E26" s="159">
        <f>IF($B26=" ","",IFERROR(INDEX(MMWR_RATING_STATE_ROLLUP_VSC[],MATCH($B26,MMWR_RATING_STATE_ROLLUP_VSC[MMWR_RATING_STATE_ROLLUP_VSC],0),MATCH(E$9,MMWR_RATING_STATE_ROLLUP_VSC[#Headers],0))/$C26,"ERROR"))</f>
        <v>0.37513895907023748</v>
      </c>
      <c r="F26" s="157">
        <f>IF($B26=" ","",IFERROR(INDEX(MMWR_RATING_STATE_ROLLUP_VSC[],MATCH($B26,MMWR_RATING_STATE_ROLLUP_VSC[MMWR_RATING_STATE_ROLLUP_VSC],0),MATCH(F$9,MMWR_RATING_STATE_ROLLUP_VSC[#Headers],0)),"ERROR"))</f>
        <v>1898</v>
      </c>
      <c r="G26" s="157">
        <f>IF($B26=" ","",IFERROR(INDEX(MMWR_RATING_STATE_ROLLUP_VSC[],MATCH($B26,MMWR_RATING_STATE_ROLLUP_VSC[MMWR_RATING_STATE_ROLLUP_VSC],0),MATCH(G$9,MMWR_RATING_STATE_ROLLUP_VSC[#Headers],0)),"ERROR"))</f>
        <v>25079</v>
      </c>
      <c r="H26" s="158">
        <f>IF($B26=" ","",IFERROR(INDEX(MMWR_RATING_STATE_ROLLUP_VSC[],MATCH($B26,MMWR_RATING_STATE_ROLLUP_VSC[MMWR_RATING_STATE_ROLLUP_VSC],0),MATCH(H$9,MMWR_RATING_STATE_ROLLUP_VSC[#Headers],0)),"ERROR"))</f>
        <v>191.18387776610001</v>
      </c>
      <c r="I26" s="158">
        <f>IF($B26=" ","",IFERROR(INDEX(MMWR_RATING_STATE_ROLLUP_VSC[],MATCH($B26,MMWR_RATING_STATE_ROLLUP_VSC[MMWR_RATING_STATE_ROLLUP_VSC],0),MATCH(I$9,MMWR_RATING_STATE_ROLLUP_VSC[#Headers],0)),"ERROR"))</f>
        <v>218.6127437298</v>
      </c>
      <c r="J26" s="42"/>
      <c r="K26" s="42"/>
      <c r="L26" s="42"/>
      <c r="M26" s="42"/>
      <c r="N26" s="28"/>
    </row>
    <row r="27" spans="1:14" x14ac:dyDescent="0.2">
      <c r="A27" s="25"/>
      <c r="B27" s="8" t="str">
        <f>VLOOKUP($B$15,DISTRICT_STATES[],13,0)</f>
        <v>Rhode Island</v>
      </c>
      <c r="C27" s="157">
        <f>IF($B27=" ","",IFERROR(INDEX(MMWR_RATING_STATE_ROLLUP_VSC[],MATCH($B27,MMWR_RATING_STATE_ROLLUP_VSC[MMWR_RATING_STATE_ROLLUP_VSC],0),MATCH(C$9,MMWR_RATING_STATE_ROLLUP_VSC[#Headers],0)),"ERROR"))</f>
        <v>866</v>
      </c>
      <c r="D27" s="158">
        <f>IF($B27=" ","",IFERROR(INDEX(MMWR_RATING_STATE_ROLLUP_VSC[],MATCH($B27,MMWR_RATING_STATE_ROLLUP_VSC[MMWR_RATING_STATE_ROLLUP_VSC],0),MATCH(D$9,MMWR_RATING_STATE_ROLLUP_VSC[#Headers],0)),"ERROR"))</f>
        <v>96.907621247099996</v>
      </c>
      <c r="E27" s="159">
        <f>IF($B27=" ","",IFERROR(INDEX(MMWR_RATING_STATE_ROLLUP_VSC[],MATCH($B27,MMWR_RATING_STATE_ROLLUP_VSC[MMWR_RATING_STATE_ROLLUP_VSC],0),MATCH(E$9,MMWR_RATING_STATE_ROLLUP_VSC[#Headers],0))/$C27,"ERROR"))</f>
        <v>0.2540415704387991</v>
      </c>
      <c r="F27" s="157">
        <f>IF($B27=" ","",IFERROR(INDEX(MMWR_RATING_STATE_ROLLUP_VSC[],MATCH($B27,MMWR_RATING_STATE_ROLLUP_VSC[MMWR_RATING_STATE_ROLLUP_VSC],0),MATCH(F$9,MMWR_RATING_STATE_ROLLUP_VSC[#Headers],0)),"ERROR"))</f>
        <v>174</v>
      </c>
      <c r="G27" s="157">
        <f>IF($B27=" ","",IFERROR(INDEX(MMWR_RATING_STATE_ROLLUP_VSC[],MATCH($B27,MMWR_RATING_STATE_ROLLUP_VSC[MMWR_RATING_STATE_ROLLUP_VSC],0),MATCH(G$9,MMWR_RATING_STATE_ROLLUP_VSC[#Headers],0)),"ERROR"))</f>
        <v>2290</v>
      </c>
      <c r="H27" s="158">
        <f>IF($B27=" ","",IFERROR(INDEX(MMWR_RATING_STATE_ROLLUP_VSC[],MATCH($B27,MMWR_RATING_STATE_ROLLUP_VSC[MMWR_RATING_STATE_ROLLUP_VSC],0),MATCH(H$9,MMWR_RATING_STATE_ROLLUP_VSC[#Headers],0)),"ERROR"))</f>
        <v>106.85057471259999</v>
      </c>
      <c r="I27" s="158">
        <f>IF($B27=" ","",IFERROR(INDEX(MMWR_RATING_STATE_ROLLUP_VSC[],MATCH($B27,MMWR_RATING_STATE_ROLLUP_VSC[MMWR_RATING_STATE_ROLLUP_VSC],0),MATCH(I$9,MMWR_RATING_STATE_ROLLUP_VSC[#Headers],0)),"ERROR"))</f>
        <v>115.9248908297</v>
      </c>
      <c r="J27" s="42"/>
      <c r="K27" s="42"/>
      <c r="L27" s="42"/>
      <c r="M27" s="42"/>
      <c r="N27" s="28"/>
    </row>
    <row r="28" spans="1:14" x14ac:dyDescent="0.2">
      <c r="A28" s="25"/>
      <c r="B28" s="8" t="str">
        <f>VLOOKUP($B$15,DISTRICT_STATES[],14,0)</f>
        <v>Vermont</v>
      </c>
      <c r="C28" s="157">
        <f>IF($B28=" ","",IFERROR(INDEX(MMWR_RATING_STATE_ROLLUP_VSC[],MATCH($B28,MMWR_RATING_STATE_ROLLUP_VSC[MMWR_RATING_STATE_ROLLUP_VSC],0),MATCH(C$9,MMWR_RATING_STATE_ROLLUP_VSC[#Headers],0)),"ERROR"))</f>
        <v>430</v>
      </c>
      <c r="D28" s="158">
        <f>IF($B28=" ","",IFERROR(INDEX(MMWR_RATING_STATE_ROLLUP_VSC[],MATCH($B28,MMWR_RATING_STATE_ROLLUP_VSC[MMWR_RATING_STATE_ROLLUP_VSC],0),MATCH(D$9,MMWR_RATING_STATE_ROLLUP_VSC[#Headers],0)),"ERROR"))</f>
        <v>108.976744186</v>
      </c>
      <c r="E28" s="159">
        <f>IF($B28=" ","",IFERROR(INDEX(MMWR_RATING_STATE_ROLLUP_VSC[],MATCH($B28,MMWR_RATING_STATE_ROLLUP_VSC[MMWR_RATING_STATE_ROLLUP_VSC],0),MATCH(E$9,MMWR_RATING_STATE_ROLLUP_VSC[#Headers],0))/$C28,"ERROR"))</f>
        <v>0.28837209302325584</v>
      </c>
      <c r="F28" s="157">
        <f>IF($B28=" ","",IFERROR(INDEX(MMWR_RATING_STATE_ROLLUP_VSC[],MATCH($B28,MMWR_RATING_STATE_ROLLUP_VSC[MMWR_RATING_STATE_ROLLUP_VSC],0),MATCH(F$9,MMWR_RATING_STATE_ROLLUP_VSC[#Headers],0)),"ERROR"))</f>
        <v>83</v>
      </c>
      <c r="G28" s="157">
        <f>IF($B28=" ","",IFERROR(INDEX(MMWR_RATING_STATE_ROLLUP_VSC[],MATCH($B28,MMWR_RATING_STATE_ROLLUP_VSC[MMWR_RATING_STATE_ROLLUP_VSC],0),MATCH(G$9,MMWR_RATING_STATE_ROLLUP_VSC[#Headers],0)),"ERROR"))</f>
        <v>1126</v>
      </c>
      <c r="H28" s="158">
        <f>IF($B28=" ","",IFERROR(INDEX(MMWR_RATING_STATE_ROLLUP_VSC[],MATCH($B28,MMWR_RATING_STATE_ROLLUP_VSC[MMWR_RATING_STATE_ROLLUP_VSC],0),MATCH(H$9,MMWR_RATING_STATE_ROLLUP_VSC[#Headers],0)),"ERROR"))</f>
        <v>186.72289156630001</v>
      </c>
      <c r="I28" s="158">
        <f>IF($B28=" ","",IFERROR(INDEX(MMWR_RATING_STATE_ROLLUP_VSC[],MATCH($B28,MMWR_RATING_STATE_ROLLUP_VSC[MMWR_RATING_STATE_ROLLUP_VSC],0),MATCH(I$9,MMWR_RATING_STATE_ROLLUP_VSC[#Headers],0)),"ERROR"))</f>
        <v>169.53552397870001</v>
      </c>
      <c r="J28" s="42"/>
      <c r="K28" s="42"/>
      <c r="L28" s="42"/>
      <c r="M28" s="42"/>
      <c r="N28" s="28"/>
    </row>
    <row r="29" spans="1:14" x14ac:dyDescent="0.2">
      <c r="A29" s="25"/>
      <c r="B29" s="8" t="str">
        <f>VLOOKUP($B$15,DISTRICT_STATES[],15,0)</f>
        <v>Virginia</v>
      </c>
      <c r="C29" s="157">
        <f>IF($B29=" ","",IFERROR(INDEX(MMWR_RATING_STATE_ROLLUP_VSC[],MATCH($B29,MMWR_RATING_STATE_ROLLUP_VSC[MMWR_RATING_STATE_ROLLUP_VSC],0),MATCH(C$9,MMWR_RATING_STATE_ROLLUP_VSC[#Headers],0)),"ERROR"))</f>
        <v>12633</v>
      </c>
      <c r="D29" s="158">
        <f>IF($B29=" ","",IFERROR(INDEX(MMWR_RATING_STATE_ROLLUP_VSC[],MATCH($B29,MMWR_RATING_STATE_ROLLUP_VSC[MMWR_RATING_STATE_ROLLUP_VSC],0),MATCH(D$9,MMWR_RATING_STATE_ROLLUP_VSC[#Headers],0)),"ERROR"))</f>
        <v>124.1295020977</v>
      </c>
      <c r="E29" s="159">
        <f>IF($B29=" ","",IFERROR(INDEX(MMWR_RATING_STATE_ROLLUP_VSC[],MATCH($B29,MMWR_RATING_STATE_ROLLUP_VSC[MMWR_RATING_STATE_ROLLUP_VSC],0),MATCH(E$9,MMWR_RATING_STATE_ROLLUP_VSC[#Headers],0))/$C29,"ERROR"))</f>
        <v>0.36420486028655108</v>
      </c>
      <c r="F29" s="157">
        <f>IF($B29=" ","",IFERROR(INDEX(MMWR_RATING_STATE_ROLLUP_VSC[],MATCH($B29,MMWR_RATING_STATE_ROLLUP_VSC[MMWR_RATING_STATE_ROLLUP_VSC],0),MATCH(F$9,MMWR_RATING_STATE_ROLLUP_VSC[#Headers],0)),"ERROR"))</f>
        <v>2405</v>
      </c>
      <c r="G29" s="157">
        <f>IF($B29=" ","",IFERROR(INDEX(MMWR_RATING_STATE_ROLLUP_VSC[],MATCH($B29,MMWR_RATING_STATE_ROLLUP_VSC[MMWR_RATING_STATE_ROLLUP_VSC],0),MATCH(G$9,MMWR_RATING_STATE_ROLLUP_VSC[#Headers],0)),"ERROR"))</f>
        <v>30134</v>
      </c>
      <c r="H29" s="158">
        <f>IF($B29=" ","",IFERROR(INDEX(MMWR_RATING_STATE_ROLLUP_VSC[],MATCH($B29,MMWR_RATING_STATE_ROLLUP_VSC[MMWR_RATING_STATE_ROLLUP_VSC],0),MATCH(H$9,MMWR_RATING_STATE_ROLLUP_VSC[#Headers],0)),"ERROR"))</f>
        <v>167.90187110190001</v>
      </c>
      <c r="I29" s="158">
        <f>IF($B29=" ","",IFERROR(INDEX(MMWR_RATING_STATE_ROLLUP_VSC[],MATCH($B29,MMWR_RATING_STATE_ROLLUP_VSC[MMWR_RATING_STATE_ROLLUP_VSC],0),MATCH(I$9,MMWR_RATING_STATE_ROLLUP_VSC[#Headers],0)),"ERROR"))</f>
        <v>206.47547620629999</v>
      </c>
      <c r="J29" s="42"/>
      <c r="K29" s="42"/>
      <c r="L29" s="42"/>
      <c r="M29" s="42"/>
      <c r="N29" s="28"/>
    </row>
    <row r="30" spans="1:14" x14ac:dyDescent="0.2">
      <c r="A30" s="25"/>
      <c r="B30" s="8" t="str">
        <f>VLOOKUP($B$15,DISTRICT_STATES[],16,0)</f>
        <v>West Virginia</v>
      </c>
      <c r="C30" s="157">
        <f>IF($B30=" ","",IFERROR(INDEX(MMWR_RATING_STATE_ROLLUP_VSC[],MATCH($B30,MMWR_RATING_STATE_ROLLUP_VSC[MMWR_RATING_STATE_ROLLUP_VSC],0),MATCH(C$9,MMWR_RATING_STATE_ROLLUP_VSC[#Headers],0)),"ERROR"))</f>
        <v>2930</v>
      </c>
      <c r="D30" s="158">
        <f>IF($B30=" ","",IFERROR(INDEX(MMWR_RATING_STATE_ROLLUP_VSC[],MATCH($B30,MMWR_RATING_STATE_ROLLUP_VSC[MMWR_RATING_STATE_ROLLUP_VSC],0),MATCH(D$9,MMWR_RATING_STATE_ROLLUP_VSC[#Headers],0)),"ERROR"))</f>
        <v>97.726279863499997</v>
      </c>
      <c r="E30" s="159">
        <f>IF($B30=" ","",IFERROR(INDEX(MMWR_RATING_STATE_ROLLUP_VSC[],MATCH($B30,MMWR_RATING_STATE_ROLLUP_VSC[MMWR_RATING_STATE_ROLLUP_VSC],0),MATCH(E$9,MMWR_RATING_STATE_ROLLUP_VSC[#Headers],0))/$C30,"ERROR"))</f>
        <v>0.27235494880546074</v>
      </c>
      <c r="F30" s="157">
        <f>IF($B30=" ","",IFERROR(INDEX(MMWR_RATING_STATE_ROLLUP_VSC[],MATCH($B30,MMWR_RATING_STATE_ROLLUP_VSC[MMWR_RATING_STATE_ROLLUP_VSC],0),MATCH(F$9,MMWR_RATING_STATE_ROLLUP_VSC[#Headers],0)),"ERROR"))</f>
        <v>653</v>
      </c>
      <c r="G30" s="157">
        <f>IF($B30=" ","",IFERROR(INDEX(MMWR_RATING_STATE_ROLLUP_VSC[],MATCH($B30,MMWR_RATING_STATE_ROLLUP_VSC[MMWR_RATING_STATE_ROLLUP_VSC],0),MATCH(G$9,MMWR_RATING_STATE_ROLLUP_VSC[#Headers],0)),"ERROR"))</f>
        <v>6758</v>
      </c>
      <c r="H30" s="158">
        <f>IF($B30=" ","",IFERROR(INDEX(MMWR_RATING_STATE_ROLLUP_VSC[],MATCH($B30,MMWR_RATING_STATE_ROLLUP_VSC[MMWR_RATING_STATE_ROLLUP_VSC],0),MATCH(H$9,MMWR_RATING_STATE_ROLLUP_VSC[#Headers],0)),"ERROR"))</f>
        <v>135.51454823890001</v>
      </c>
      <c r="I30" s="158">
        <f>IF($B30=" ","",IFERROR(INDEX(MMWR_RATING_STATE_ROLLUP_VSC[],MATCH($B30,MMWR_RATING_STATE_ROLLUP_VSC[MMWR_RATING_STATE_ROLLUP_VSC],0),MATCH(I$9,MMWR_RATING_STATE_ROLLUP_VSC[#Headers],0)),"ERROR"))</f>
        <v>152.1599585676</v>
      </c>
      <c r="J30" s="42"/>
      <c r="K30" s="42"/>
      <c r="L30" s="42"/>
      <c r="M30" s="42"/>
      <c r="N30" s="28"/>
    </row>
    <row r="31" spans="1:14" x14ac:dyDescent="0.2">
      <c r="A31" s="25"/>
      <c r="B31" s="367" t="s">
        <v>982</v>
      </c>
      <c r="C31" s="368"/>
      <c r="D31" s="368"/>
      <c r="E31" s="368"/>
      <c r="F31" s="368"/>
      <c r="G31" s="368"/>
      <c r="H31" s="368"/>
      <c r="I31" s="368"/>
      <c r="J31" s="368"/>
      <c r="K31" s="368"/>
      <c r="L31" s="368"/>
      <c r="M31" s="380"/>
      <c r="N31" s="28"/>
    </row>
    <row r="32" spans="1:14" x14ac:dyDescent="0.2">
      <c r="A32" s="25"/>
      <c r="B32" s="41" t="s">
        <v>1061</v>
      </c>
      <c r="C32" s="157">
        <f>IF($B32=" ","",IFERROR(INDEX(MMWR_RATING_STATE_ROLLUP_PMC[],MATCH($B32,MMWR_RATING_STATE_ROLLUP_PMC[MMWR_RATING_STATE_ROLLUP_PMC],0),MATCH(C$9,MMWR_RATING_STATE_ROLLUP_PMC[#Headers],0)),"ERROR"))</f>
        <v>18985</v>
      </c>
      <c r="D32" s="158">
        <f>IF($B32=" ","",IFERROR(INDEX(MMWR_RATING_STATE_ROLLUP_PMC[],MATCH($B32,MMWR_RATING_STATE_ROLLUP_PMC[MMWR_RATING_STATE_ROLLUP_PMC],0),MATCH(D$9,MMWR_RATING_STATE_ROLLUP_PMC[#Headers],0)),"ERROR"))</f>
        <v>61.410639978900001</v>
      </c>
      <c r="E32" s="159">
        <f>IF($B32=" ","",IFERROR(INDEX(MMWR_RATING_STATE_ROLLUP_PMC[],MATCH($B32,MMWR_RATING_STATE_ROLLUP_PMC[MMWR_RATING_STATE_ROLLUP_PMC],0),MATCH(E$9,MMWR_RATING_STATE_ROLLUP_PMC[#Headers],0))/$C32,"ERROR"))</f>
        <v>9.6181195680800635E-2</v>
      </c>
      <c r="F32" s="157">
        <f>IF($B32=" ","",IFERROR(INDEX(MMWR_RATING_STATE_ROLLUP_PMC[],MATCH($B32,MMWR_RATING_STATE_ROLLUP_PMC[MMWR_RATING_STATE_ROLLUP_PMC],0),MATCH(F$9,MMWR_RATING_STATE_ROLLUP_PMC[#Headers],0)),"ERROR"))</f>
        <v>8383</v>
      </c>
      <c r="G32" s="157">
        <f>IF($B32=" ","",IFERROR(INDEX(MMWR_RATING_STATE_ROLLUP_PMC[],MATCH($B32,MMWR_RATING_STATE_ROLLUP_PMC[MMWR_RATING_STATE_ROLLUP_PMC],0),MATCH(G$9,MMWR_RATING_STATE_ROLLUP_PMC[#Headers],0)),"ERROR"))</f>
        <v>110883</v>
      </c>
      <c r="H32" s="158">
        <f>IF($B32=" ","",IFERROR(INDEX(MMWR_RATING_STATE_ROLLUP_PMC[],MATCH($B32,MMWR_RATING_STATE_ROLLUP_PMC[MMWR_RATING_STATE_ROLLUP_PMC],0),MATCH(H$9,MMWR_RATING_STATE_ROLLUP_PMC[#Headers],0)),"ERROR"))</f>
        <v>62.185852320199999</v>
      </c>
      <c r="I32" s="158">
        <f>IF($B32=" ","",IFERROR(INDEX(MMWR_RATING_STATE_ROLLUP_PMC[],MATCH($B32,MMWR_RATING_STATE_ROLLUP_PMC[MMWR_RATING_STATE_ROLLUP_PMC],0),MATCH(I$9,MMWR_RATING_STATE_ROLLUP_PMC[#Headers],0)),"ERROR"))</f>
        <v>64.505794395899997</v>
      </c>
      <c r="J32" s="42"/>
      <c r="K32" s="42"/>
      <c r="L32" s="42"/>
      <c r="M32" s="42"/>
      <c r="N32" s="28"/>
    </row>
    <row r="33" spans="1:14" x14ac:dyDescent="0.2">
      <c r="A33" s="25"/>
      <c r="B33" s="253" t="str">
        <f>INDEX(DISTRICT_STATES[],MATCH($B$5,DISTRICT_RO[District],0),1)</f>
        <v>North Atlantic</v>
      </c>
      <c r="C33" s="157">
        <f>IF($B33=" ","",IFERROR(INDEX(MMWR_RATING_STATE_ROLLUP_PMC[],MATCH($B33,MMWR_RATING_STATE_ROLLUP_PMC[MMWR_RATING_STATE_ROLLUP_PMC],0),MATCH(C$9,MMWR_RATING_STATE_ROLLUP_PMC[#Headers],0)),"ERROR"))</f>
        <v>3714</v>
      </c>
      <c r="D33" s="158">
        <f>IF($B33=" ","",IFERROR(INDEX(MMWR_RATING_STATE_ROLLUP_PMC[],MATCH($B33,MMWR_RATING_STATE_ROLLUP_PMC[MMWR_RATING_STATE_ROLLUP_PMC],0),MATCH(D$9,MMWR_RATING_STATE_ROLLUP_PMC[#Headers],0)),"ERROR"))</f>
        <v>72.707592891800005</v>
      </c>
      <c r="E33" s="159">
        <f>IF($B33=" ","",IFERROR(INDEX(MMWR_RATING_STATE_ROLLUP_PMC[],MATCH($B33,MMWR_RATING_STATE_ROLLUP_PMC[MMWR_RATING_STATE_ROLLUP_PMC],0),MATCH(E$9,MMWR_RATING_STATE_ROLLUP_PMC[#Headers],0))/$C33,"ERROR"))</f>
        <v>0.14620355411954766</v>
      </c>
      <c r="F33" s="157">
        <f>IF($B33=" ","",IFERROR(INDEX(MMWR_RATING_STATE_ROLLUP_PMC[],MATCH($B33,MMWR_RATING_STATE_ROLLUP_PMC[MMWR_RATING_STATE_ROLLUP_PMC],0),MATCH(F$9,MMWR_RATING_STATE_ROLLUP_PMC[#Headers],0)),"ERROR"))</f>
        <v>1689</v>
      </c>
      <c r="G33" s="157">
        <f>IF($B33=" ","",IFERROR(INDEX(MMWR_RATING_STATE_ROLLUP_PMC[],MATCH($B33,MMWR_RATING_STATE_ROLLUP_PMC[MMWR_RATING_STATE_ROLLUP_PMC],0),MATCH(G$9,MMWR_RATING_STATE_ROLLUP_PMC[#Headers],0)),"ERROR"))</f>
        <v>21316</v>
      </c>
      <c r="H33" s="158">
        <f>IF($B33=" ","",IFERROR(INDEX(MMWR_RATING_STATE_ROLLUP_PMC[],MATCH($B33,MMWR_RATING_STATE_ROLLUP_PMC[MMWR_RATING_STATE_ROLLUP_PMC],0),MATCH(H$9,MMWR_RATING_STATE_ROLLUP_PMC[#Headers],0)),"ERROR"))</f>
        <v>72.879810538800001</v>
      </c>
      <c r="I33" s="158">
        <f>IF($B33=" ","",IFERROR(INDEX(MMWR_RATING_STATE_ROLLUP_PMC[],MATCH($B33,MMWR_RATING_STATE_ROLLUP_PMC[MMWR_RATING_STATE_ROLLUP_PMC],0),MATCH(I$9,MMWR_RATING_STATE_ROLLUP_PMC[#Headers],0)),"ERROR"))</f>
        <v>74.636751735800004</v>
      </c>
      <c r="J33" s="42"/>
      <c r="K33" s="42"/>
      <c r="L33" s="42"/>
      <c r="M33" s="42"/>
      <c r="N33" s="28"/>
    </row>
    <row r="34" spans="1:14" x14ac:dyDescent="0.2">
      <c r="A34" s="25"/>
      <c r="B34" s="8" t="str">
        <f>VLOOKUP($B$15,DISTRICT_STATES[],2,0)</f>
        <v>Connecticut</v>
      </c>
      <c r="C34" s="157">
        <f>IF($B34=" ","",IFERROR(INDEX(MMWR_RATING_STATE_ROLLUP_PMC[],MATCH($B34,MMWR_RATING_STATE_ROLLUP_PMC[MMWR_RATING_STATE_ROLLUP_PMC],0),MATCH(C$9,MMWR_RATING_STATE_ROLLUP_PMC[#Headers],0)),"ERROR"))</f>
        <v>115</v>
      </c>
      <c r="D34" s="158">
        <f>IF($B34=" ","",IFERROR(INDEX(MMWR_RATING_STATE_ROLLUP_PMC[],MATCH($B34,MMWR_RATING_STATE_ROLLUP_PMC[MMWR_RATING_STATE_ROLLUP_PMC],0),MATCH(D$9,MMWR_RATING_STATE_ROLLUP_PMC[#Headers],0)),"ERROR"))</f>
        <v>77.121739130400002</v>
      </c>
      <c r="E34" s="159">
        <f>IF($B34=" ","",IFERROR(INDEX(MMWR_RATING_STATE_ROLLUP_PMC[],MATCH($B34,MMWR_RATING_STATE_ROLLUP_PMC[MMWR_RATING_STATE_ROLLUP_PMC],0),MATCH(E$9,MMWR_RATING_STATE_ROLLUP_PMC[#Headers],0))/$C34,"ERROR"))</f>
        <v>0.12173913043478261</v>
      </c>
      <c r="F34" s="157">
        <f>IF($B34=" ","",IFERROR(INDEX(MMWR_RATING_STATE_ROLLUP_PMC[],MATCH($B34,MMWR_RATING_STATE_ROLLUP_PMC[MMWR_RATING_STATE_ROLLUP_PMC],0),MATCH(F$9,MMWR_RATING_STATE_ROLLUP_PMC[#Headers],0)),"ERROR"))</f>
        <v>50</v>
      </c>
      <c r="G34" s="157">
        <f>IF($B34=" ","",IFERROR(INDEX(MMWR_RATING_STATE_ROLLUP_PMC[],MATCH($B34,MMWR_RATING_STATE_ROLLUP_PMC[MMWR_RATING_STATE_ROLLUP_PMC],0),MATCH(G$9,MMWR_RATING_STATE_ROLLUP_PMC[#Headers],0)),"ERROR"))</f>
        <v>645</v>
      </c>
      <c r="H34" s="158">
        <f>IF($B34=" ","",IFERROR(INDEX(MMWR_RATING_STATE_ROLLUP_PMC[],MATCH($B34,MMWR_RATING_STATE_ROLLUP_PMC[MMWR_RATING_STATE_ROLLUP_PMC],0),MATCH(H$9,MMWR_RATING_STATE_ROLLUP_PMC[#Headers],0)),"ERROR"))</f>
        <v>66.86</v>
      </c>
      <c r="I34" s="158">
        <f>IF($B34=" ","",IFERROR(INDEX(MMWR_RATING_STATE_ROLLUP_PMC[],MATCH($B34,MMWR_RATING_STATE_ROLLUP_PMC[MMWR_RATING_STATE_ROLLUP_PMC],0),MATCH(I$9,MMWR_RATING_STATE_ROLLUP_PMC[#Headers],0)),"ERROR"))</f>
        <v>74.469767441900004</v>
      </c>
      <c r="J34" s="42"/>
      <c r="K34" s="42"/>
      <c r="L34" s="42"/>
      <c r="M34" s="42"/>
      <c r="N34" s="28"/>
    </row>
    <row r="35" spans="1:14" x14ac:dyDescent="0.2">
      <c r="A35" s="25"/>
      <c r="B35" s="8" t="str">
        <f>VLOOKUP($B$15,DISTRICT_STATES[],3,0)</f>
        <v>Delaware</v>
      </c>
      <c r="C35" s="157">
        <f>IF($B35=" ","",IFERROR(INDEX(MMWR_RATING_STATE_ROLLUP_PMC[],MATCH($B35,MMWR_RATING_STATE_ROLLUP_PMC[MMWR_RATING_STATE_ROLLUP_PMC],0),MATCH(C$9,MMWR_RATING_STATE_ROLLUP_PMC[#Headers],0)),"ERROR"))</f>
        <v>40</v>
      </c>
      <c r="D35" s="158">
        <f>IF($B35=" ","",IFERROR(INDEX(MMWR_RATING_STATE_ROLLUP_PMC[],MATCH($B35,MMWR_RATING_STATE_ROLLUP_PMC[MMWR_RATING_STATE_ROLLUP_PMC],0),MATCH(D$9,MMWR_RATING_STATE_ROLLUP_PMC[#Headers],0)),"ERROR"))</f>
        <v>96.375</v>
      </c>
      <c r="E35" s="159">
        <f>IF($B35=" ","",IFERROR(INDEX(MMWR_RATING_STATE_ROLLUP_PMC[],MATCH($B35,MMWR_RATING_STATE_ROLLUP_PMC[MMWR_RATING_STATE_ROLLUP_PMC],0),MATCH(E$9,MMWR_RATING_STATE_ROLLUP_PMC[#Headers],0))/$C35,"ERROR"))</f>
        <v>0.2</v>
      </c>
      <c r="F35" s="157">
        <f>IF($B35=" ","",IFERROR(INDEX(MMWR_RATING_STATE_ROLLUP_PMC[],MATCH($B35,MMWR_RATING_STATE_ROLLUP_PMC[MMWR_RATING_STATE_ROLLUP_PMC],0),MATCH(F$9,MMWR_RATING_STATE_ROLLUP_PMC[#Headers],0)),"ERROR"))</f>
        <v>15</v>
      </c>
      <c r="G35" s="157">
        <f>IF($B35=" ","",IFERROR(INDEX(MMWR_RATING_STATE_ROLLUP_PMC[],MATCH($B35,MMWR_RATING_STATE_ROLLUP_PMC[MMWR_RATING_STATE_ROLLUP_PMC],0),MATCH(G$9,MMWR_RATING_STATE_ROLLUP_PMC[#Headers],0)),"ERROR"))</f>
        <v>232</v>
      </c>
      <c r="H35" s="158">
        <f>IF($B35=" ","",IFERROR(INDEX(MMWR_RATING_STATE_ROLLUP_PMC[],MATCH($B35,MMWR_RATING_STATE_ROLLUP_PMC[MMWR_RATING_STATE_ROLLUP_PMC],0),MATCH(H$9,MMWR_RATING_STATE_ROLLUP_PMC[#Headers],0)),"ERROR"))</f>
        <v>109.7333333333</v>
      </c>
      <c r="I35" s="158">
        <f>IF($B35=" ","",IFERROR(INDEX(MMWR_RATING_STATE_ROLLUP_PMC[],MATCH($B35,MMWR_RATING_STATE_ROLLUP_PMC[MMWR_RATING_STATE_ROLLUP_PMC],0),MATCH(I$9,MMWR_RATING_STATE_ROLLUP_PMC[#Headers],0)),"ERROR"))</f>
        <v>75.198275862100004</v>
      </c>
      <c r="J35" s="42"/>
      <c r="K35" s="42"/>
      <c r="L35" s="42"/>
      <c r="M35" s="42"/>
      <c r="N35" s="28"/>
    </row>
    <row r="36" spans="1:14" x14ac:dyDescent="0.2">
      <c r="A36" s="25"/>
      <c r="B36" s="8" t="str">
        <f>VLOOKUP($B$15,DISTRICT_STATES[],4,0)</f>
        <v>District of Columbia</v>
      </c>
      <c r="C36" s="157">
        <f>IF($B36=" ","",IFERROR(INDEX(MMWR_RATING_STATE_ROLLUP_PMC[],MATCH($B36,MMWR_RATING_STATE_ROLLUP_PMC[MMWR_RATING_STATE_ROLLUP_PMC],0),MATCH(C$9,MMWR_RATING_STATE_ROLLUP_PMC[#Headers],0)),"ERROR"))</f>
        <v>29</v>
      </c>
      <c r="D36" s="158">
        <f>IF($B36=" ","",IFERROR(INDEX(MMWR_RATING_STATE_ROLLUP_PMC[],MATCH($B36,MMWR_RATING_STATE_ROLLUP_PMC[MMWR_RATING_STATE_ROLLUP_PMC],0),MATCH(D$9,MMWR_RATING_STATE_ROLLUP_PMC[#Headers],0)),"ERROR"))</f>
        <v>67.379310344800004</v>
      </c>
      <c r="E36" s="159">
        <f>IF($B36=" ","",IFERROR(INDEX(MMWR_RATING_STATE_ROLLUP_PMC[],MATCH($B36,MMWR_RATING_STATE_ROLLUP_PMC[MMWR_RATING_STATE_ROLLUP_PMC],0),MATCH(E$9,MMWR_RATING_STATE_ROLLUP_PMC[#Headers],0))/$C36,"ERROR"))</f>
        <v>0.10344827586206896</v>
      </c>
      <c r="F36" s="157">
        <f>IF($B36=" ","",IFERROR(INDEX(MMWR_RATING_STATE_ROLLUP_PMC[],MATCH($B36,MMWR_RATING_STATE_ROLLUP_PMC[MMWR_RATING_STATE_ROLLUP_PMC],0),MATCH(F$9,MMWR_RATING_STATE_ROLLUP_PMC[#Headers],0)),"ERROR"))</f>
        <v>12</v>
      </c>
      <c r="G36" s="157">
        <f>IF($B36=" ","",IFERROR(INDEX(MMWR_RATING_STATE_ROLLUP_PMC[],MATCH($B36,MMWR_RATING_STATE_ROLLUP_PMC[MMWR_RATING_STATE_ROLLUP_PMC],0),MATCH(G$9,MMWR_RATING_STATE_ROLLUP_PMC[#Headers],0)),"ERROR"))</f>
        <v>136</v>
      </c>
      <c r="H36" s="158">
        <f>IF($B36=" ","",IFERROR(INDEX(MMWR_RATING_STATE_ROLLUP_PMC[],MATCH($B36,MMWR_RATING_STATE_ROLLUP_PMC[MMWR_RATING_STATE_ROLLUP_PMC],0),MATCH(H$9,MMWR_RATING_STATE_ROLLUP_PMC[#Headers],0)),"ERROR"))</f>
        <v>82.333333333300004</v>
      </c>
      <c r="I36" s="158">
        <f>IF($B36=" ","",IFERROR(INDEX(MMWR_RATING_STATE_ROLLUP_PMC[],MATCH($B36,MMWR_RATING_STATE_ROLLUP_PMC[MMWR_RATING_STATE_ROLLUP_PMC],0),MATCH(I$9,MMWR_RATING_STATE_ROLLUP_PMC[#Headers],0)),"ERROR"))</f>
        <v>85.897058823500004</v>
      </c>
      <c r="J36" s="42"/>
      <c r="K36" s="42"/>
      <c r="L36" s="42"/>
      <c r="M36" s="42"/>
      <c r="N36" s="28"/>
    </row>
    <row r="37" spans="1:14" x14ac:dyDescent="0.2">
      <c r="A37" s="25"/>
      <c r="B37" s="8" t="str">
        <f>VLOOKUP($B$15,DISTRICT_STATES[],5,0)</f>
        <v>Maine</v>
      </c>
      <c r="C37" s="157">
        <f>IF($B37=" ","",IFERROR(INDEX(MMWR_RATING_STATE_ROLLUP_PMC[],MATCH($B37,MMWR_RATING_STATE_ROLLUP_PMC[MMWR_RATING_STATE_ROLLUP_PMC],0),MATCH(C$9,MMWR_RATING_STATE_ROLLUP_PMC[#Headers],0)),"ERROR"))</f>
        <v>46</v>
      </c>
      <c r="D37" s="158">
        <f>IF($B37=" ","",IFERROR(INDEX(MMWR_RATING_STATE_ROLLUP_PMC[],MATCH($B37,MMWR_RATING_STATE_ROLLUP_PMC[MMWR_RATING_STATE_ROLLUP_PMC],0),MATCH(D$9,MMWR_RATING_STATE_ROLLUP_PMC[#Headers],0)),"ERROR"))</f>
        <v>55.5217391304</v>
      </c>
      <c r="E37" s="159">
        <f>IF($B37=" ","",IFERROR(INDEX(MMWR_RATING_STATE_ROLLUP_PMC[],MATCH($B37,MMWR_RATING_STATE_ROLLUP_PMC[MMWR_RATING_STATE_ROLLUP_PMC],0),MATCH(E$9,MMWR_RATING_STATE_ROLLUP_PMC[#Headers],0))/$C37,"ERROR"))</f>
        <v>4.3478260869565216E-2</v>
      </c>
      <c r="F37" s="157">
        <f>IF($B37=" ","",IFERROR(INDEX(MMWR_RATING_STATE_ROLLUP_PMC[],MATCH($B37,MMWR_RATING_STATE_ROLLUP_PMC[MMWR_RATING_STATE_ROLLUP_PMC],0),MATCH(F$9,MMWR_RATING_STATE_ROLLUP_PMC[#Headers],0)),"ERROR"))</f>
        <v>26</v>
      </c>
      <c r="G37" s="157">
        <f>IF($B37=" ","",IFERROR(INDEX(MMWR_RATING_STATE_ROLLUP_PMC[],MATCH($B37,MMWR_RATING_STATE_ROLLUP_PMC[MMWR_RATING_STATE_ROLLUP_PMC],0),MATCH(G$9,MMWR_RATING_STATE_ROLLUP_PMC[#Headers],0)),"ERROR"))</f>
        <v>410</v>
      </c>
      <c r="H37" s="158">
        <f>IF($B37=" ","",IFERROR(INDEX(MMWR_RATING_STATE_ROLLUP_PMC[],MATCH($B37,MMWR_RATING_STATE_ROLLUP_PMC[MMWR_RATING_STATE_ROLLUP_PMC],0),MATCH(H$9,MMWR_RATING_STATE_ROLLUP_PMC[#Headers],0)),"ERROR"))</f>
        <v>67.192307692300005</v>
      </c>
      <c r="I37" s="158">
        <f>IF($B37=" ","",IFERROR(INDEX(MMWR_RATING_STATE_ROLLUP_PMC[],MATCH($B37,MMWR_RATING_STATE_ROLLUP_PMC[MMWR_RATING_STATE_ROLLUP_PMC],0),MATCH(I$9,MMWR_RATING_STATE_ROLLUP_PMC[#Headers],0)),"ERROR"))</f>
        <v>64.458536585399997</v>
      </c>
      <c r="J37" s="42"/>
      <c r="K37" s="42"/>
      <c r="L37" s="42"/>
      <c r="M37" s="42"/>
      <c r="N37" s="28"/>
    </row>
    <row r="38" spans="1:14" x14ac:dyDescent="0.2">
      <c r="A38" s="25"/>
      <c r="B38" s="8" t="str">
        <f>VLOOKUP($B$15,DISTRICT_STATES[],6,0)</f>
        <v>Maryland</v>
      </c>
      <c r="C38" s="157">
        <f>IF($B38=" ","",IFERROR(INDEX(MMWR_RATING_STATE_ROLLUP_PMC[],MATCH($B38,MMWR_RATING_STATE_ROLLUP_PMC[MMWR_RATING_STATE_ROLLUP_PMC],0),MATCH(C$9,MMWR_RATING_STATE_ROLLUP_PMC[#Headers],0)),"ERROR"))</f>
        <v>289</v>
      </c>
      <c r="D38" s="158">
        <f>IF($B38=" ","",IFERROR(INDEX(MMWR_RATING_STATE_ROLLUP_PMC[],MATCH($B38,MMWR_RATING_STATE_ROLLUP_PMC[MMWR_RATING_STATE_ROLLUP_PMC],0),MATCH(D$9,MMWR_RATING_STATE_ROLLUP_PMC[#Headers],0)),"ERROR"))</f>
        <v>81.705882352900005</v>
      </c>
      <c r="E38" s="159">
        <f>IF($B38=" ","",IFERROR(INDEX(MMWR_RATING_STATE_ROLLUP_PMC[],MATCH($B38,MMWR_RATING_STATE_ROLLUP_PMC[MMWR_RATING_STATE_ROLLUP_PMC],0),MATCH(E$9,MMWR_RATING_STATE_ROLLUP_PMC[#Headers],0))/$C38,"ERROR"))</f>
        <v>0.17301038062283736</v>
      </c>
      <c r="F38" s="157">
        <f>IF($B38=" ","",IFERROR(INDEX(MMWR_RATING_STATE_ROLLUP_PMC[],MATCH($B38,MMWR_RATING_STATE_ROLLUP_PMC[MMWR_RATING_STATE_ROLLUP_PMC],0),MATCH(F$9,MMWR_RATING_STATE_ROLLUP_PMC[#Headers],0)),"ERROR"))</f>
        <v>119</v>
      </c>
      <c r="G38" s="157">
        <f>IF($B38=" ","",IFERROR(INDEX(MMWR_RATING_STATE_ROLLUP_PMC[],MATCH($B38,MMWR_RATING_STATE_ROLLUP_PMC[MMWR_RATING_STATE_ROLLUP_PMC],0),MATCH(G$9,MMWR_RATING_STATE_ROLLUP_PMC[#Headers],0)),"ERROR"))</f>
        <v>1351</v>
      </c>
      <c r="H38" s="158">
        <f>IF($B38=" ","",IFERROR(INDEX(MMWR_RATING_STATE_ROLLUP_PMC[],MATCH($B38,MMWR_RATING_STATE_ROLLUP_PMC[MMWR_RATING_STATE_ROLLUP_PMC],0),MATCH(H$9,MMWR_RATING_STATE_ROLLUP_PMC[#Headers],0)),"ERROR"))</f>
        <v>80.025210083999994</v>
      </c>
      <c r="I38" s="158">
        <f>IF($B38=" ","",IFERROR(INDEX(MMWR_RATING_STATE_ROLLUP_PMC[],MATCH($B38,MMWR_RATING_STATE_ROLLUP_PMC[MMWR_RATING_STATE_ROLLUP_PMC],0),MATCH(I$9,MMWR_RATING_STATE_ROLLUP_PMC[#Headers],0)),"ERROR"))</f>
        <v>86.823094004400005</v>
      </c>
      <c r="J38" s="42"/>
      <c r="K38" s="42"/>
      <c r="L38" s="42"/>
      <c r="M38" s="42"/>
      <c r="N38" s="28"/>
    </row>
    <row r="39" spans="1:14" x14ac:dyDescent="0.2">
      <c r="A39" s="25"/>
      <c r="B39" s="8" t="str">
        <f>VLOOKUP($B$15,DISTRICT_STATES[],7,0)</f>
        <v>Massachusetts</v>
      </c>
      <c r="C39" s="157">
        <f>IF($B39=" ","",IFERROR(INDEX(MMWR_RATING_STATE_ROLLUP_PMC[],MATCH($B39,MMWR_RATING_STATE_ROLLUP_PMC[MMWR_RATING_STATE_ROLLUP_PMC],0),MATCH(C$9,MMWR_RATING_STATE_ROLLUP_PMC[#Headers],0)),"ERROR"))</f>
        <v>206</v>
      </c>
      <c r="D39" s="158">
        <f>IF($B39=" ","",IFERROR(INDEX(MMWR_RATING_STATE_ROLLUP_PMC[],MATCH($B39,MMWR_RATING_STATE_ROLLUP_PMC[MMWR_RATING_STATE_ROLLUP_PMC],0),MATCH(D$9,MMWR_RATING_STATE_ROLLUP_PMC[#Headers],0)),"ERROR"))</f>
        <v>70.699029126200003</v>
      </c>
      <c r="E39" s="159">
        <f>IF($B39=" ","",IFERROR(INDEX(MMWR_RATING_STATE_ROLLUP_PMC[],MATCH($B39,MMWR_RATING_STATE_ROLLUP_PMC[MMWR_RATING_STATE_ROLLUP_PMC],0),MATCH(E$9,MMWR_RATING_STATE_ROLLUP_PMC[#Headers],0))/$C39,"ERROR"))</f>
        <v>0.11650485436893204</v>
      </c>
      <c r="F39" s="157">
        <f>IF($B39=" ","",IFERROR(INDEX(MMWR_RATING_STATE_ROLLUP_PMC[],MATCH($B39,MMWR_RATING_STATE_ROLLUP_PMC[MMWR_RATING_STATE_ROLLUP_PMC],0),MATCH(F$9,MMWR_RATING_STATE_ROLLUP_PMC[#Headers],0)),"ERROR"))</f>
        <v>92</v>
      </c>
      <c r="G39" s="157">
        <f>IF($B39=" ","",IFERROR(INDEX(MMWR_RATING_STATE_ROLLUP_PMC[],MATCH($B39,MMWR_RATING_STATE_ROLLUP_PMC[MMWR_RATING_STATE_ROLLUP_PMC],0),MATCH(G$9,MMWR_RATING_STATE_ROLLUP_PMC[#Headers],0)),"ERROR"))</f>
        <v>1224</v>
      </c>
      <c r="H39" s="158">
        <f>IF($B39=" ","",IFERROR(INDEX(MMWR_RATING_STATE_ROLLUP_PMC[],MATCH($B39,MMWR_RATING_STATE_ROLLUP_PMC[MMWR_RATING_STATE_ROLLUP_PMC],0),MATCH(H$9,MMWR_RATING_STATE_ROLLUP_PMC[#Headers],0)),"ERROR"))</f>
        <v>65</v>
      </c>
      <c r="I39" s="158">
        <f>IF($B39=" ","",IFERROR(INDEX(MMWR_RATING_STATE_ROLLUP_PMC[],MATCH($B39,MMWR_RATING_STATE_ROLLUP_PMC[MMWR_RATING_STATE_ROLLUP_PMC],0),MATCH(I$9,MMWR_RATING_STATE_ROLLUP_PMC[#Headers],0)),"ERROR"))</f>
        <v>69.051470588200004</v>
      </c>
      <c r="J39" s="42"/>
      <c r="K39" s="42"/>
      <c r="L39" s="42"/>
      <c r="M39" s="42"/>
      <c r="N39" s="28"/>
    </row>
    <row r="40" spans="1:14" x14ac:dyDescent="0.2">
      <c r="A40" s="25"/>
      <c r="B40" s="8" t="str">
        <f>VLOOKUP($B$15,DISTRICT_STATES[],8,0)</f>
        <v>New Hampshire</v>
      </c>
      <c r="C40" s="157">
        <f>IF($B40=" ","",IFERROR(INDEX(MMWR_RATING_STATE_ROLLUP_PMC[],MATCH($B40,MMWR_RATING_STATE_ROLLUP_PMC[MMWR_RATING_STATE_ROLLUP_PMC],0),MATCH(C$9,MMWR_RATING_STATE_ROLLUP_PMC[#Headers],0)),"ERROR"))</f>
        <v>58</v>
      </c>
      <c r="D40" s="158">
        <f>IF($B40=" ","",IFERROR(INDEX(MMWR_RATING_STATE_ROLLUP_PMC[],MATCH($B40,MMWR_RATING_STATE_ROLLUP_PMC[MMWR_RATING_STATE_ROLLUP_PMC],0),MATCH(D$9,MMWR_RATING_STATE_ROLLUP_PMC[#Headers],0)),"ERROR"))</f>
        <v>65.741379310300005</v>
      </c>
      <c r="E40" s="159">
        <f>IF($B40=" ","",IFERROR(INDEX(MMWR_RATING_STATE_ROLLUP_PMC[],MATCH($B40,MMWR_RATING_STATE_ROLLUP_PMC[MMWR_RATING_STATE_ROLLUP_PMC],0),MATCH(E$9,MMWR_RATING_STATE_ROLLUP_PMC[#Headers],0))/$C40,"ERROR"))</f>
        <v>0.1206896551724138</v>
      </c>
      <c r="F40" s="157">
        <f>IF($B40=" ","",IFERROR(INDEX(MMWR_RATING_STATE_ROLLUP_PMC[],MATCH($B40,MMWR_RATING_STATE_ROLLUP_PMC[MMWR_RATING_STATE_ROLLUP_PMC],0),MATCH(F$9,MMWR_RATING_STATE_ROLLUP_PMC[#Headers],0)),"ERROR"))</f>
        <v>40</v>
      </c>
      <c r="G40" s="157">
        <f>IF($B40=" ","",IFERROR(INDEX(MMWR_RATING_STATE_ROLLUP_PMC[],MATCH($B40,MMWR_RATING_STATE_ROLLUP_PMC[MMWR_RATING_STATE_ROLLUP_PMC],0),MATCH(G$9,MMWR_RATING_STATE_ROLLUP_PMC[#Headers],0)),"ERROR"))</f>
        <v>341</v>
      </c>
      <c r="H40" s="158">
        <f>IF($B40=" ","",IFERROR(INDEX(MMWR_RATING_STATE_ROLLUP_PMC[],MATCH($B40,MMWR_RATING_STATE_ROLLUP_PMC[MMWR_RATING_STATE_ROLLUP_PMC],0),MATCH(H$9,MMWR_RATING_STATE_ROLLUP_PMC[#Headers],0)),"ERROR"))</f>
        <v>85.85</v>
      </c>
      <c r="I40" s="158">
        <f>IF($B40=" ","",IFERROR(INDEX(MMWR_RATING_STATE_ROLLUP_PMC[],MATCH($B40,MMWR_RATING_STATE_ROLLUP_PMC[MMWR_RATING_STATE_ROLLUP_PMC],0),MATCH(I$9,MMWR_RATING_STATE_ROLLUP_PMC[#Headers],0)),"ERROR"))</f>
        <v>74.067448680400005</v>
      </c>
      <c r="J40" s="42"/>
      <c r="K40" s="42"/>
      <c r="L40" s="42"/>
      <c r="M40" s="42"/>
      <c r="N40" s="28"/>
    </row>
    <row r="41" spans="1:14" x14ac:dyDescent="0.2">
      <c r="A41" s="25"/>
      <c r="B41" s="8" t="str">
        <f>VLOOKUP($B$15,DISTRICT_STATES[],9,0)</f>
        <v>New Jersey</v>
      </c>
      <c r="C41" s="157">
        <f>IF($B41=" ","",IFERROR(INDEX(MMWR_RATING_STATE_ROLLUP_PMC[],MATCH($B41,MMWR_RATING_STATE_ROLLUP_PMC[MMWR_RATING_STATE_ROLLUP_PMC],0),MATCH(C$9,MMWR_RATING_STATE_ROLLUP_PMC[#Headers],0)),"ERROR"))</f>
        <v>284</v>
      </c>
      <c r="D41" s="158">
        <f>IF($B41=" ","",IFERROR(INDEX(MMWR_RATING_STATE_ROLLUP_PMC[],MATCH($B41,MMWR_RATING_STATE_ROLLUP_PMC[MMWR_RATING_STATE_ROLLUP_PMC],0),MATCH(D$9,MMWR_RATING_STATE_ROLLUP_PMC[#Headers],0)),"ERROR"))</f>
        <v>74.468309859200005</v>
      </c>
      <c r="E41" s="159">
        <f>IF($B41=" ","",IFERROR(INDEX(MMWR_RATING_STATE_ROLLUP_PMC[],MATCH($B41,MMWR_RATING_STATE_ROLLUP_PMC[MMWR_RATING_STATE_ROLLUP_PMC],0),MATCH(E$9,MMWR_RATING_STATE_ROLLUP_PMC[#Headers],0))/$C41,"ERROR"))</f>
        <v>0.1619718309859155</v>
      </c>
      <c r="F41" s="157">
        <f>IF($B41=" ","",IFERROR(INDEX(MMWR_RATING_STATE_ROLLUP_PMC[],MATCH($B41,MMWR_RATING_STATE_ROLLUP_PMC[MMWR_RATING_STATE_ROLLUP_PMC],0),MATCH(F$9,MMWR_RATING_STATE_ROLLUP_PMC[#Headers],0)),"ERROR"))</f>
        <v>111</v>
      </c>
      <c r="G41" s="157">
        <f>IF($B41=" ","",IFERROR(INDEX(MMWR_RATING_STATE_ROLLUP_PMC[],MATCH($B41,MMWR_RATING_STATE_ROLLUP_PMC[MMWR_RATING_STATE_ROLLUP_PMC],0),MATCH(G$9,MMWR_RATING_STATE_ROLLUP_PMC[#Headers],0)),"ERROR"))</f>
        <v>1525</v>
      </c>
      <c r="H41" s="158">
        <f>IF($B41=" ","",IFERROR(INDEX(MMWR_RATING_STATE_ROLLUP_PMC[],MATCH($B41,MMWR_RATING_STATE_ROLLUP_PMC[MMWR_RATING_STATE_ROLLUP_PMC],0),MATCH(H$9,MMWR_RATING_STATE_ROLLUP_PMC[#Headers],0)),"ERROR"))</f>
        <v>79.063063063100003</v>
      </c>
      <c r="I41" s="158">
        <f>IF($B41=" ","",IFERROR(INDEX(MMWR_RATING_STATE_ROLLUP_PMC[],MATCH($B41,MMWR_RATING_STATE_ROLLUP_PMC[MMWR_RATING_STATE_ROLLUP_PMC],0),MATCH(I$9,MMWR_RATING_STATE_ROLLUP_PMC[#Headers],0)),"ERROR"))</f>
        <v>78.350163934400001</v>
      </c>
      <c r="J41" s="42"/>
      <c r="K41" s="42"/>
      <c r="L41" s="42"/>
      <c r="M41" s="42"/>
      <c r="N41" s="28"/>
    </row>
    <row r="42" spans="1:14" x14ac:dyDescent="0.2">
      <c r="A42" s="25"/>
      <c r="B42" s="8" t="str">
        <f>VLOOKUP($B$15,DISTRICT_STATES[],10,0)</f>
        <v>New York</v>
      </c>
      <c r="C42" s="157">
        <f>IF($B42=" ","",IFERROR(INDEX(MMWR_RATING_STATE_ROLLUP_PMC[],MATCH($B42,MMWR_RATING_STATE_ROLLUP_PMC[MMWR_RATING_STATE_ROLLUP_PMC],0),MATCH(C$9,MMWR_RATING_STATE_ROLLUP_PMC[#Headers],0)),"ERROR"))</f>
        <v>616</v>
      </c>
      <c r="D42" s="158">
        <f>IF($B42=" ","",IFERROR(INDEX(MMWR_RATING_STATE_ROLLUP_PMC[],MATCH($B42,MMWR_RATING_STATE_ROLLUP_PMC[MMWR_RATING_STATE_ROLLUP_PMC],0),MATCH(D$9,MMWR_RATING_STATE_ROLLUP_PMC[#Headers],0)),"ERROR"))</f>
        <v>70.365259740300004</v>
      </c>
      <c r="E42" s="159">
        <f>IF($B42=" ","",IFERROR(INDEX(MMWR_RATING_STATE_ROLLUP_PMC[],MATCH($B42,MMWR_RATING_STATE_ROLLUP_PMC[MMWR_RATING_STATE_ROLLUP_PMC],0),MATCH(E$9,MMWR_RATING_STATE_ROLLUP_PMC[#Headers],0))/$C42,"ERROR"))</f>
        <v>0.14123376623376624</v>
      </c>
      <c r="F42" s="157">
        <f>IF($B42=" ","",IFERROR(INDEX(MMWR_RATING_STATE_ROLLUP_PMC[],MATCH($B42,MMWR_RATING_STATE_ROLLUP_PMC[MMWR_RATING_STATE_ROLLUP_PMC],0),MATCH(F$9,MMWR_RATING_STATE_ROLLUP_PMC[#Headers],0)),"ERROR"))</f>
        <v>301</v>
      </c>
      <c r="G42" s="157">
        <f>IF($B42=" ","",IFERROR(INDEX(MMWR_RATING_STATE_ROLLUP_PMC[],MATCH($B42,MMWR_RATING_STATE_ROLLUP_PMC[MMWR_RATING_STATE_ROLLUP_PMC],0),MATCH(G$9,MMWR_RATING_STATE_ROLLUP_PMC[#Headers],0)),"ERROR"))</f>
        <v>3656</v>
      </c>
      <c r="H42" s="158">
        <f>IF($B42=" ","",IFERROR(INDEX(MMWR_RATING_STATE_ROLLUP_PMC[],MATCH($B42,MMWR_RATING_STATE_ROLLUP_PMC[MMWR_RATING_STATE_ROLLUP_PMC],0),MATCH(H$9,MMWR_RATING_STATE_ROLLUP_PMC[#Headers],0)),"ERROR"))</f>
        <v>64.893687707599994</v>
      </c>
      <c r="I42" s="158">
        <f>IF($B42=" ","",IFERROR(INDEX(MMWR_RATING_STATE_ROLLUP_PMC[],MATCH($B42,MMWR_RATING_STATE_ROLLUP_PMC[MMWR_RATING_STATE_ROLLUP_PMC],0),MATCH(I$9,MMWR_RATING_STATE_ROLLUP_PMC[#Headers],0)),"ERROR"))</f>
        <v>69.608862144400007</v>
      </c>
      <c r="J42" s="42"/>
      <c r="K42" s="42"/>
      <c r="L42" s="42"/>
      <c r="M42" s="42"/>
      <c r="N42" s="28"/>
    </row>
    <row r="43" spans="1:14" x14ac:dyDescent="0.2">
      <c r="A43" s="25"/>
      <c r="B43" s="8" t="str">
        <f>VLOOKUP($B$15,DISTRICT_STATES[],11,0)</f>
        <v>North Carolina</v>
      </c>
      <c r="C43" s="157">
        <f>IF($B43=" ","",IFERROR(INDEX(MMWR_RATING_STATE_ROLLUP_PMC[],MATCH($B43,MMWR_RATING_STATE_ROLLUP_PMC[MMWR_RATING_STATE_ROLLUP_PMC],0),MATCH(C$9,MMWR_RATING_STATE_ROLLUP_PMC[#Headers],0)),"ERROR"))</f>
        <v>657</v>
      </c>
      <c r="D43" s="158">
        <f>IF($B43=" ","",IFERROR(INDEX(MMWR_RATING_STATE_ROLLUP_PMC[],MATCH($B43,MMWR_RATING_STATE_ROLLUP_PMC[MMWR_RATING_STATE_ROLLUP_PMC],0),MATCH(D$9,MMWR_RATING_STATE_ROLLUP_PMC[#Headers],0)),"ERROR"))</f>
        <v>77.482496194800007</v>
      </c>
      <c r="E43" s="159">
        <f>IF($B43=" ","",IFERROR(INDEX(MMWR_RATING_STATE_ROLLUP_PMC[],MATCH($B43,MMWR_RATING_STATE_ROLLUP_PMC[MMWR_RATING_STATE_ROLLUP_PMC],0),MATCH(E$9,MMWR_RATING_STATE_ROLLUP_PMC[#Headers],0))/$C43,"ERROR"))</f>
        <v>0.17656012176560121</v>
      </c>
      <c r="F43" s="157">
        <f>IF($B43=" ","",IFERROR(INDEX(MMWR_RATING_STATE_ROLLUP_PMC[],MATCH($B43,MMWR_RATING_STATE_ROLLUP_PMC[MMWR_RATING_STATE_ROLLUP_PMC],0),MATCH(F$9,MMWR_RATING_STATE_ROLLUP_PMC[#Headers],0)),"ERROR"))</f>
        <v>287</v>
      </c>
      <c r="G43" s="157">
        <f>IF($B43=" ","",IFERROR(INDEX(MMWR_RATING_STATE_ROLLUP_PMC[],MATCH($B43,MMWR_RATING_STATE_ROLLUP_PMC[MMWR_RATING_STATE_ROLLUP_PMC],0),MATCH(G$9,MMWR_RATING_STATE_ROLLUP_PMC[#Headers],0)),"ERROR"))</f>
        <v>3910</v>
      </c>
      <c r="H43" s="158">
        <f>IF($B43=" ","",IFERROR(INDEX(MMWR_RATING_STATE_ROLLUP_PMC[],MATCH($B43,MMWR_RATING_STATE_ROLLUP_PMC[MMWR_RATING_STATE_ROLLUP_PMC],0),MATCH(H$9,MMWR_RATING_STATE_ROLLUP_PMC[#Headers],0)),"ERROR"))</f>
        <v>72.9163763066</v>
      </c>
      <c r="I43" s="158">
        <f>IF($B43=" ","",IFERROR(INDEX(MMWR_RATING_STATE_ROLLUP_PMC[],MATCH($B43,MMWR_RATING_STATE_ROLLUP_PMC[MMWR_RATING_STATE_ROLLUP_PMC],0),MATCH(I$9,MMWR_RATING_STATE_ROLLUP_PMC[#Headers],0)),"ERROR"))</f>
        <v>77.360102301799998</v>
      </c>
      <c r="J43" s="42"/>
      <c r="K43" s="42"/>
      <c r="L43" s="42"/>
      <c r="M43" s="42"/>
      <c r="N43" s="28"/>
    </row>
    <row r="44" spans="1:14" x14ac:dyDescent="0.2">
      <c r="A44" s="25"/>
      <c r="B44" s="8" t="str">
        <f>VLOOKUP($B$15,DISTRICT_STATES[],12,0)</f>
        <v>Pennsylvania</v>
      </c>
      <c r="C44" s="157">
        <f>IF($B44=" ","",IFERROR(INDEX(MMWR_RATING_STATE_ROLLUP_PMC[],MATCH($B44,MMWR_RATING_STATE_ROLLUP_PMC[MMWR_RATING_STATE_ROLLUP_PMC],0),MATCH(C$9,MMWR_RATING_STATE_ROLLUP_PMC[#Headers],0)),"ERROR"))</f>
        <v>743</v>
      </c>
      <c r="D44" s="158">
        <f>IF($B44=" ","",IFERROR(INDEX(MMWR_RATING_STATE_ROLLUP_PMC[],MATCH($B44,MMWR_RATING_STATE_ROLLUP_PMC[MMWR_RATING_STATE_ROLLUP_PMC],0),MATCH(D$9,MMWR_RATING_STATE_ROLLUP_PMC[#Headers],0)),"ERROR"))</f>
        <v>63.484522207300003</v>
      </c>
      <c r="E44" s="159">
        <f>IF($B44=" ","",IFERROR(INDEX(MMWR_RATING_STATE_ROLLUP_PMC[],MATCH($B44,MMWR_RATING_STATE_ROLLUP_PMC[MMWR_RATING_STATE_ROLLUP_PMC],0),MATCH(E$9,MMWR_RATING_STATE_ROLLUP_PMC[#Headers],0))/$C44,"ERROR"))</f>
        <v>0.11440107671601615</v>
      </c>
      <c r="F44" s="157">
        <f>IF($B44=" ","",IFERROR(INDEX(MMWR_RATING_STATE_ROLLUP_PMC[],MATCH($B44,MMWR_RATING_STATE_ROLLUP_PMC[MMWR_RATING_STATE_ROLLUP_PMC],0),MATCH(F$9,MMWR_RATING_STATE_ROLLUP_PMC[#Headers],0)),"ERROR"))</f>
        <v>343</v>
      </c>
      <c r="G44" s="157">
        <f>IF($B44=" ","",IFERROR(INDEX(MMWR_RATING_STATE_ROLLUP_PMC[],MATCH($B44,MMWR_RATING_STATE_ROLLUP_PMC[MMWR_RATING_STATE_ROLLUP_PMC],0),MATCH(G$9,MMWR_RATING_STATE_ROLLUP_PMC[#Headers],0)),"ERROR"))</f>
        <v>4442</v>
      </c>
      <c r="H44" s="158">
        <f>IF($B44=" ","",IFERROR(INDEX(MMWR_RATING_STATE_ROLLUP_PMC[],MATCH($B44,MMWR_RATING_STATE_ROLLUP_PMC[MMWR_RATING_STATE_ROLLUP_PMC],0),MATCH(H$9,MMWR_RATING_STATE_ROLLUP_PMC[#Headers],0)),"ERROR"))</f>
        <v>58.953352769699997</v>
      </c>
      <c r="I44" s="158">
        <f>IF($B44=" ","",IFERROR(INDEX(MMWR_RATING_STATE_ROLLUP_PMC[],MATCH($B44,MMWR_RATING_STATE_ROLLUP_PMC[MMWR_RATING_STATE_ROLLUP_PMC],0),MATCH(I$9,MMWR_RATING_STATE_ROLLUP_PMC[#Headers],0)),"ERROR"))</f>
        <v>68.740882485399993</v>
      </c>
      <c r="J44" s="42"/>
      <c r="K44" s="42"/>
      <c r="L44" s="42"/>
      <c r="M44" s="42"/>
      <c r="N44" s="28"/>
    </row>
    <row r="45" spans="1:14" x14ac:dyDescent="0.2">
      <c r="A45" s="25"/>
      <c r="B45" s="8" t="str">
        <f>VLOOKUP($B$15,DISTRICT_STATES[],13,0)</f>
        <v>Rhode Island</v>
      </c>
      <c r="C45" s="157">
        <f>IF($B45=" ","",IFERROR(INDEX(MMWR_RATING_STATE_ROLLUP_PMC[],MATCH($B45,MMWR_RATING_STATE_ROLLUP_PMC[MMWR_RATING_STATE_ROLLUP_PMC],0),MATCH(C$9,MMWR_RATING_STATE_ROLLUP_PMC[#Headers],0)),"ERROR"))</f>
        <v>50</v>
      </c>
      <c r="D45" s="158">
        <f>IF($B45=" ","",IFERROR(INDEX(MMWR_RATING_STATE_ROLLUP_PMC[],MATCH($B45,MMWR_RATING_STATE_ROLLUP_PMC[MMWR_RATING_STATE_ROLLUP_PMC],0),MATCH(D$9,MMWR_RATING_STATE_ROLLUP_PMC[#Headers],0)),"ERROR"))</f>
        <v>57.12</v>
      </c>
      <c r="E45" s="159">
        <f>IF($B45=" ","",IFERROR(INDEX(MMWR_RATING_STATE_ROLLUP_PMC[],MATCH($B45,MMWR_RATING_STATE_ROLLUP_PMC[MMWR_RATING_STATE_ROLLUP_PMC],0),MATCH(E$9,MMWR_RATING_STATE_ROLLUP_PMC[#Headers],0))/$C45,"ERROR"))</f>
        <v>0.04</v>
      </c>
      <c r="F45" s="157">
        <f>IF($B45=" ","",IFERROR(INDEX(MMWR_RATING_STATE_ROLLUP_PMC[],MATCH($B45,MMWR_RATING_STATE_ROLLUP_PMC[MMWR_RATING_STATE_ROLLUP_PMC],0),MATCH(F$9,MMWR_RATING_STATE_ROLLUP_PMC[#Headers],0)),"ERROR"))</f>
        <v>26</v>
      </c>
      <c r="G45" s="157">
        <f>IF($B45=" ","",IFERROR(INDEX(MMWR_RATING_STATE_ROLLUP_PMC[],MATCH($B45,MMWR_RATING_STATE_ROLLUP_PMC[MMWR_RATING_STATE_ROLLUP_PMC],0),MATCH(G$9,MMWR_RATING_STATE_ROLLUP_PMC[#Headers],0)),"ERROR"))</f>
        <v>242</v>
      </c>
      <c r="H45" s="158">
        <f>IF($B45=" ","",IFERROR(INDEX(MMWR_RATING_STATE_ROLLUP_PMC[],MATCH($B45,MMWR_RATING_STATE_ROLLUP_PMC[MMWR_RATING_STATE_ROLLUP_PMC],0),MATCH(H$9,MMWR_RATING_STATE_ROLLUP_PMC[#Headers],0)),"ERROR"))</f>
        <v>68.230769230799993</v>
      </c>
      <c r="I45" s="158">
        <f>IF($B45=" ","",IFERROR(INDEX(MMWR_RATING_STATE_ROLLUP_PMC[],MATCH($B45,MMWR_RATING_STATE_ROLLUP_PMC[MMWR_RATING_STATE_ROLLUP_PMC],0),MATCH(I$9,MMWR_RATING_STATE_ROLLUP_PMC[#Headers],0)),"ERROR"))</f>
        <v>70.706611570199996</v>
      </c>
      <c r="J45" s="42"/>
      <c r="K45" s="42"/>
      <c r="L45" s="42"/>
      <c r="M45" s="42"/>
      <c r="N45" s="28"/>
    </row>
    <row r="46" spans="1:14" x14ac:dyDescent="0.2">
      <c r="A46" s="25"/>
      <c r="B46" s="8" t="str">
        <f>VLOOKUP($B$15,DISTRICT_STATES[],14,0)</f>
        <v>Vermont</v>
      </c>
      <c r="C46" s="157">
        <f>IF($B46=" ","",IFERROR(INDEX(MMWR_RATING_STATE_ROLLUP_PMC[],MATCH($B46,MMWR_RATING_STATE_ROLLUP_PMC[MMWR_RATING_STATE_ROLLUP_PMC],0),MATCH(C$9,MMWR_RATING_STATE_ROLLUP_PMC[#Headers],0)),"ERROR"))</f>
        <v>19</v>
      </c>
      <c r="D46" s="158">
        <f>IF($B46=" ","",IFERROR(INDEX(MMWR_RATING_STATE_ROLLUP_PMC[],MATCH($B46,MMWR_RATING_STATE_ROLLUP_PMC[MMWR_RATING_STATE_ROLLUP_PMC],0),MATCH(D$9,MMWR_RATING_STATE_ROLLUP_PMC[#Headers],0)),"ERROR"))</f>
        <v>63.368421052599999</v>
      </c>
      <c r="E46" s="159">
        <f>IF($B46=" ","",IFERROR(INDEX(MMWR_RATING_STATE_ROLLUP_PMC[],MATCH($B46,MMWR_RATING_STATE_ROLLUP_PMC[MMWR_RATING_STATE_ROLLUP_PMC],0),MATCH(E$9,MMWR_RATING_STATE_ROLLUP_PMC[#Headers],0))/$C46,"ERROR"))</f>
        <v>5.2631578947368418E-2</v>
      </c>
      <c r="F46" s="157">
        <f>IF($B46=" ","",IFERROR(INDEX(MMWR_RATING_STATE_ROLLUP_PMC[],MATCH($B46,MMWR_RATING_STATE_ROLLUP_PMC[MMWR_RATING_STATE_ROLLUP_PMC],0),MATCH(F$9,MMWR_RATING_STATE_ROLLUP_PMC[#Headers],0)),"ERROR"))</f>
        <v>10</v>
      </c>
      <c r="G46" s="157">
        <f>IF($B46=" ","",IFERROR(INDEX(MMWR_RATING_STATE_ROLLUP_PMC[],MATCH($B46,MMWR_RATING_STATE_ROLLUP_PMC[MMWR_RATING_STATE_ROLLUP_PMC],0),MATCH(G$9,MMWR_RATING_STATE_ROLLUP_PMC[#Headers],0)),"ERROR"))</f>
        <v>98</v>
      </c>
      <c r="H46" s="158">
        <f>IF($B46=" ","",IFERROR(INDEX(MMWR_RATING_STATE_ROLLUP_PMC[],MATCH($B46,MMWR_RATING_STATE_ROLLUP_PMC[MMWR_RATING_STATE_ROLLUP_PMC],0),MATCH(H$9,MMWR_RATING_STATE_ROLLUP_PMC[#Headers],0)),"ERROR"))</f>
        <v>83.4</v>
      </c>
      <c r="I46" s="158">
        <f>IF($B46=" ","",IFERROR(INDEX(MMWR_RATING_STATE_ROLLUP_PMC[],MATCH($B46,MMWR_RATING_STATE_ROLLUP_PMC[MMWR_RATING_STATE_ROLLUP_PMC],0),MATCH(I$9,MMWR_RATING_STATE_ROLLUP_PMC[#Headers],0)),"ERROR"))</f>
        <v>85.040816326500007</v>
      </c>
      <c r="J46" s="42"/>
      <c r="K46" s="42"/>
      <c r="L46" s="42"/>
      <c r="M46" s="42"/>
      <c r="N46" s="28"/>
    </row>
    <row r="47" spans="1:14" x14ac:dyDescent="0.2">
      <c r="A47" s="25"/>
      <c r="B47" s="8" t="str">
        <f>VLOOKUP($B$15,DISTRICT_STATES[],15,0)</f>
        <v>Virginia</v>
      </c>
      <c r="C47" s="157">
        <f>IF($B47=" ","",IFERROR(INDEX(MMWR_RATING_STATE_ROLLUP_PMC[],MATCH($B47,MMWR_RATING_STATE_ROLLUP_PMC[MMWR_RATING_STATE_ROLLUP_PMC],0),MATCH(C$9,MMWR_RATING_STATE_ROLLUP_PMC[#Headers],0)),"ERROR"))</f>
        <v>446</v>
      </c>
      <c r="D47" s="158">
        <f>IF($B47=" ","",IFERROR(INDEX(MMWR_RATING_STATE_ROLLUP_PMC[],MATCH($B47,MMWR_RATING_STATE_ROLLUP_PMC[MMWR_RATING_STATE_ROLLUP_PMC],0),MATCH(D$9,MMWR_RATING_STATE_ROLLUP_PMC[#Headers],0)),"ERROR"))</f>
        <v>82</v>
      </c>
      <c r="E47" s="159">
        <f>IF($B47=" ","",IFERROR(INDEX(MMWR_RATING_STATE_ROLLUP_PMC[],MATCH($B47,MMWR_RATING_STATE_ROLLUP_PMC[MMWR_RATING_STATE_ROLLUP_PMC],0),MATCH(E$9,MMWR_RATING_STATE_ROLLUP_PMC[#Headers],0))/$C47,"ERROR"))</f>
        <v>0.18385650224215247</v>
      </c>
      <c r="F47" s="157">
        <f>IF($B47=" ","",IFERROR(INDEX(MMWR_RATING_STATE_ROLLUP_PMC[],MATCH($B47,MMWR_RATING_STATE_ROLLUP_PMC[MMWR_RATING_STATE_ROLLUP_PMC],0),MATCH(F$9,MMWR_RATING_STATE_ROLLUP_PMC[#Headers],0)),"ERROR"))</f>
        <v>191</v>
      </c>
      <c r="G47" s="157">
        <f>IF($B47=" ","",IFERROR(INDEX(MMWR_RATING_STATE_ROLLUP_PMC[],MATCH($B47,MMWR_RATING_STATE_ROLLUP_PMC[MMWR_RATING_STATE_ROLLUP_PMC],0),MATCH(G$9,MMWR_RATING_STATE_ROLLUP_PMC[#Headers],0)),"ERROR"))</f>
        <v>2417</v>
      </c>
      <c r="H47" s="158">
        <f>IF($B47=" ","",IFERROR(INDEX(MMWR_RATING_STATE_ROLLUP_PMC[],MATCH($B47,MMWR_RATING_STATE_ROLLUP_PMC[MMWR_RATING_STATE_ROLLUP_PMC],0),MATCH(H$9,MMWR_RATING_STATE_ROLLUP_PMC[#Headers],0)),"ERROR"))</f>
        <v>90.015706806300003</v>
      </c>
      <c r="I47" s="158">
        <f>IF($B47=" ","",IFERROR(INDEX(MMWR_RATING_STATE_ROLLUP_PMC[],MATCH($B47,MMWR_RATING_STATE_ROLLUP_PMC[MMWR_RATING_STATE_ROLLUP_PMC],0),MATCH(I$9,MMWR_RATING_STATE_ROLLUP_PMC[#Headers],0)),"ERROR"))</f>
        <v>81.6164666942</v>
      </c>
      <c r="J47" s="42"/>
      <c r="K47" s="42"/>
      <c r="L47" s="42"/>
      <c r="M47" s="42"/>
      <c r="N47" s="28"/>
    </row>
    <row r="48" spans="1:14" x14ac:dyDescent="0.2">
      <c r="A48" s="25"/>
      <c r="B48" s="8" t="str">
        <f>VLOOKUP($B$15,DISTRICT_STATES[],16,0)</f>
        <v>West Virginia</v>
      </c>
      <c r="C48" s="157">
        <f>IF($B48=" ","",IFERROR(INDEX(MMWR_RATING_STATE_ROLLUP_PMC[],MATCH($B48,MMWR_RATING_STATE_ROLLUP_PMC[MMWR_RATING_STATE_ROLLUP_PMC],0),MATCH(C$9,MMWR_RATING_STATE_ROLLUP_PMC[#Headers],0)),"ERROR"))</f>
        <v>116</v>
      </c>
      <c r="D48" s="158">
        <f>IF($B48=" ","",IFERROR(INDEX(MMWR_RATING_STATE_ROLLUP_PMC[],MATCH($B48,MMWR_RATING_STATE_ROLLUP_PMC[MMWR_RATING_STATE_ROLLUP_PMC],0),MATCH(D$9,MMWR_RATING_STATE_ROLLUP_PMC[#Headers],0)),"ERROR"))</f>
        <v>65.629310344800004</v>
      </c>
      <c r="E48" s="159">
        <f>IF($B48=" ","",IFERROR(INDEX(MMWR_RATING_STATE_ROLLUP_PMC[],MATCH($B48,MMWR_RATING_STATE_ROLLUP_PMC[MMWR_RATING_STATE_ROLLUP_PMC],0),MATCH(E$9,MMWR_RATING_STATE_ROLLUP_PMC[#Headers],0))/$C48,"ERROR"))</f>
        <v>0.13793103448275862</v>
      </c>
      <c r="F48" s="157">
        <f>IF($B48=" ","",IFERROR(INDEX(MMWR_RATING_STATE_ROLLUP_PMC[],MATCH($B48,MMWR_RATING_STATE_ROLLUP_PMC[MMWR_RATING_STATE_ROLLUP_PMC],0),MATCH(F$9,MMWR_RATING_STATE_ROLLUP_PMC[#Headers],0)),"ERROR"))</f>
        <v>66</v>
      </c>
      <c r="G48" s="157">
        <f>IF($B48=" ","",IFERROR(INDEX(MMWR_RATING_STATE_ROLLUP_PMC[],MATCH($B48,MMWR_RATING_STATE_ROLLUP_PMC[MMWR_RATING_STATE_ROLLUP_PMC],0),MATCH(G$9,MMWR_RATING_STATE_ROLLUP_PMC[#Headers],0)),"ERROR"))</f>
        <v>687</v>
      </c>
      <c r="H48" s="158">
        <f>IF($B48=" ","",IFERROR(INDEX(MMWR_RATING_STATE_ROLLUP_PMC[],MATCH($B48,MMWR_RATING_STATE_ROLLUP_PMC[MMWR_RATING_STATE_ROLLUP_PMC],0),MATCH(H$9,MMWR_RATING_STATE_ROLLUP_PMC[#Headers],0)),"ERROR"))</f>
        <v>108.7121212121</v>
      </c>
      <c r="I48" s="158">
        <f>IF($B48=" ","",IFERROR(INDEX(MMWR_RATING_STATE_ROLLUP_PMC[],MATCH($B48,MMWR_RATING_STATE_ROLLUP_PMC[MMWR_RATING_STATE_ROLLUP_PMC],0),MATCH(I$9,MMWR_RATING_STATE_ROLLUP_PMC[#Headers],0)),"ERROR"))</f>
        <v>81.197962154300001</v>
      </c>
      <c r="J48" s="42"/>
      <c r="K48" s="42"/>
      <c r="L48" s="42"/>
      <c r="M48" s="42"/>
      <c r="N48" s="28"/>
    </row>
    <row r="49" spans="1:14" x14ac:dyDescent="0.2">
      <c r="A49" s="25"/>
      <c r="B49" s="367" t="s">
        <v>1063</v>
      </c>
      <c r="C49" s="368"/>
      <c r="D49" s="368"/>
      <c r="E49" s="368"/>
      <c r="F49" s="368"/>
      <c r="G49" s="368"/>
      <c r="H49" s="368"/>
      <c r="I49" s="368"/>
      <c r="J49" s="368"/>
      <c r="K49" s="368"/>
      <c r="L49" s="368"/>
      <c r="M49" s="380"/>
      <c r="N49" s="28"/>
    </row>
    <row r="50" spans="1:14" x14ac:dyDescent="0.2">
      <c r="A50" s="25"/>
      <c r="B50" s="41" t="s">
        <v>1062</v>
      </c>
      <c r="C50" s="157">
        <f>IF($B50=" ","",IFERROR(INDEX(MMWR_RATING_STATE_ROLLUP_QST[],MATCH($B50,MMWR_RATING_STATE_ROLLUP_QST[MMWR_RATING_STATE_ROLLUP_QST],0),MATCH(C$9,MMWR_RATING_STATE_ROLLUP_QST[#Headers],0)),"ERROR"))</f>
        <v>7865</v>
      </c>
      <c r="D50" s="158">
        <f>IF($B50=" ","",IFERROR(INDEX(MMWR_RATING_STATE_ROLLUP_QST[],MATCH($B50,MMWR_RATING_STATE_ROLLUP_QST[MMWR_RATING_STATE_ROLLUP_QST],0),MATCH(D$9,MMWR_RATING_STATE_ROLLUP_QST[#Headers],0)),"ERROR"))</f>
        <v>76.171265098500001</v>
      </c>
      <c r="E50" s="159">
        <f>IF($B50=" ","",IFERROR(INDEX(MMWR_RATING_STATE_ROLLUP_QST[],MATCH($B50,MMWR_RATING_STATE_ROLLUP_QST[MMWR_RATING_STATE_ROLLUP_QST],0),MATCH(E$9,MMWR_RATING_STATE_ROLLUP_QST[#Headers],0))/$C50,"ERROR"))</f>
        <v>0.18169103623649077</v>
      </c>
      <c r="F50" s="157">
        <f>IF($B50=" ","",IFERROR(INDEX(MMWR_RATING_STATE_ROLLUP_QST[],MATCH($B50,MMWR_RATING_STATE_ROLLUP_QST[MMWR_RATING_STATE_ROLLUP_QST],0),MATCH(F$9,MMWR_RATING_STATE_ROLLUP_QST[#Headers],0)),"ERROR"))</f>
        <v>1391</v>
      </c>
      <c r="G50" s="157">
        <f>IF($B50=" ","",IFERROR(INDEX(MMWR_RATING_STATE_ROLLUP_QST[],MATCH($B50,MMWR_RATING_STATE_ROLLUP_QST[MMWR_RATING_STATE_ROLLUP_QST],0),MATCH(G$9,MMWR_RATING_STATE_ROLLUP_QST[#Headers],0)),"ERROR"))</f>
        <v>18820</v>
      </c>
      <c r="H50" s="158">
        <f>IF($B50=" ","",IFERROR(INDEX(MMWR_RATING_STATE_ROLLUP_QST[],MATCH($B50,MMWR_RATING_STATE_ROLLUP_QST[MMWR_RATING_STATE_ROLLUP_QST],0),MATCH(H$9,MMWR_RATING_STATE_ROLLUP_QST[#Headers],0)),"ERROR"))</f>
        <v>126.291876348</v>
      </c>
      <c r="I50" s="158">
        <f>IF($B50=" ","",IFERROR(INDEX(MMWR_RATING_STATE_ROLLUP_QST[],MATCH($B50,MMWR_RATING_STATE_ROLLUP_QST[MMWR_RATING_STATE_ROLLUP_QST],0),MATCH(I$9,MMWR_RATING_STATE_ROLLUP_QST[#Headers],0)),"ERROR"))</f>
        <v>135.10042507969999</v>
      </c>
      <c r="J50" s="42"/>
      <c r="K50" s="42"/>
      <c r="L50" s="42"/>
      <c r="M50" s="42"/>
      <c r="N50" s="28"/>
    </row>
    <row r="51" spans="1:14" x14ac:dyDescent="0.2">
      <c r="A51" s="25"/>
      <c r="B51" s="253" t="str">
        <f>INDEX(DISTRICT_STATES[],MATCH($B$5,DISTRICT_RO[District],0),1)</f>
        <v>North Atlantic</v>
      </c>
      <c r="C51" s="157">
        <f>IF($B51=" ","",IFERROR(INDEX(MMWR_RATING_STATE_ROLLUP_QST[],MATCH($B51,MMWR_RATING_STATE_ROLLUP_QST[MMWR_RATING_STATE_ROLLUP_QST],0),MATCH(C$9,MMWR_RATING_STATE_ROLLUP_QST[#Headers],0)),"ERROR"))</f>
        <v>1834</v>
      </c>
      <c r="D51" s="158">
        <f>IF($B51=" ","",IFERROR(INDEX(MMWR_RATING_STATE_ROLLUP_QST[],MATCH($B51,MMWR_RATING_STATE_ROLLUP_QST[MMWR_RATING_STATE_ROLLUP_QST],0),MATCH(D$9,MMWR_RATING_STATE_ROLLUP_QST[#Headers],0)),"ERROR"))</f>
        <v>76.178844056700001</v>
      </c>
      <c r="E51" s="159">
        <f>IF($B51=" ","",IFERROR(INDEX(MMWR_RATING_STATE_ROLLUP_QST[],MATCH($B51,MMWR_RATING_STATE_ROLLUP_QST[MMWR_RATING_STATE_ROLLUP_QST],0),MATCH(E$9,MMWR_RATING_STATE_ROLLUP_QST[#Headers],0))/$C51,"ERROR"))</f>
        <v>0.17775354416575789</v>
      </c>
      <c r="F51" s="157">
        <f>IF($B51=" ","",IFERROR(INDEX(MMWR_RATING_STATE_ROLLUP_QST[],MATCH($B51,MMWR_RATING_STATE_ROLLUP_QST[MMWR_RATING_STATE_ROLLUP_QST],0),MATCH(F$9,MMWR_RATING_STATE_ROLLUP_QST[#Headers],0)),"ERROR"))</f>
        <v>311</v>
      </c>
      <c r="G51" s="157">
        <f>IF($B51=" ","",IFERROR(INDEX(MMWR_RATING_STATE_ROLLUP_QST[],MATCH($B51,MMWR_RATING_STATE_ROLLUP_QST[MMWR_RATING_STATE_ROLLUP_QST],0),MATCH(G$9,MMWR_RATING_STATE_ROLLUP_QST[#Headers],0)),"ERROR"))</f>
        <v>4044</v>
      </c>
      <c r="H51" s="158">
        <f>IF($B51=" ","",IFERROR(INDEX(MMWR_RATING_STATE_ROLLUP_QST[],MATCH($B51,MMWR_RATING_STATE_ROLLUP_QST[MMWR_RATING_STATE_ROLLUP_QST],0),MATCH(H$9,MMWR_RATING_STATE_ROLLUP_QST[#Headers],0)),"ERROR"))</f>
        <v>134.52090032149999</v>
      </c>
      <c r="I51" s="158">
        <f>IF($B51=" ","",IFERROR(INDEX(MMWR_RATING_STATE_ROLLUP_QST[],MATCH($B51,MMWR_RATING_STATE_ROLLUP_QST[MMWR_RATING_STATE_ROLLUP_QST],0),MATCH(I$9,MMWR_RATING_STATE_ROLLUP_QST[#Headers],0)),"ERROR"))</f>
        <v>141.30514342239999</v>
      </c>
      <c r="J51" s="42"/>
      <c r="K51" s="42"/>
      <c r="L51" s="42"/>
      <c r="M51" s="42"/>
      <c r="N51" s="28"/>
    </row>
    <row r="52" spans="1:14" x14ac:dyDescent="0.2">
      <c r="A52" s="25"/>
      <c r="B52" s="8" t="str">
        <f>VLOOKUP($B$15,DISTRICT_STATES[],2,0)</f>
        <v>Connecticut</v>
      </c>
      <c r="C52" s="157">
        <f>IF($B52=" ","",IFERROR(INDEX(MMWR_RATING_STATE_ROLLUP_QST[],MATCH($B52,MMWR_RATING_STATE_ROLLUP_QST[MMWR_RATING_STATE_ROLLUP_QST],0),MATCH(C$9,MMWR_RATING_STATE_ROLLUP_QST[#Headers],0)),"ERROR"))</f>
        <v>43</v>
      </c>
      <c r="D52" s="158">
        <f>IF($B52=" ","",IFERROR(INDEX(MMWR_RATING_STATE_ROLLUP_QST[],MATCH($B52,MMWR_RATING_STATE_ROLLUP_QST[MMWR_RATING_STATE_ROLLUP_QST],0),MATCH(D$9,MMWR_RATING_STATE_ROLLUP_QST[#Headers],0)),"ERROR"))</f>
        <v>63.581395348800001</v>
      </c>
      <c r="E52" s="159">
        <f>IF($B52=" ","",IFERROR(INDEX(MMWR_RATING_STATE_ROLLUP_QST[],MATCH($B52,MMWR_RATING_STATE_ROLLUP_QST[MMWR_RATING_STATE_ROLLUP_QST],0),MATCH(E$9,MMWR_RATING_STATE_ROLLUP_QST[#Headers],0))/$C52,"ERROR"))</f>
        <v>6.9767441860465115E-2</v>
      </c>
      <c r="F52" s="157">
        <f>IF($B52=" ","",IFERROR(INDEX(MMWR_RATING_STATE_ROLLUP_QST[],MATCH($B52,MMWR_RATING_STATE_ROLLUP_QST[MMWR_RATING_STATE_ROLLUP_QST],0),MATCH(F$9,MMWR_RATING_STATE_ROLLUP_QST[#Headers],0)),"ERROR"))</f>
        <v>4</v>
      </c>
      <c r="G52" s="157">
        <f>IF($B52=" ","",IFERROR(INDEX(MMWR_RATING_STATE_ROLLUP_QST[],MATCH($B52,MMWR_RATING_STATE_ROLLUP_QST[MMWR_RATING_STATE_ROLLUP_QST],0),MATCH(G$9,MMWR_RATING_STATE_ROLLUP_QST[#Headers],0)),"ERROR"))</f>
        <v>109</v>
      </c>
      <c r="H52" s="158">
        <f>IF($B52=" ","",IFERROR(INDEX(MMWR_RATING_STATE_ROLLUP_QST[],MATCH($B52,MMWR_RATING_STATE_ROLLUP_QST[MMWR_RATING_STATE_ROLLUP_QST],0),MATCH(H$9,MMWR_RATING_STATE_ROLLUP_QST[#Headers],0)),"ERROR"))</f>
        <v>49.25</v>
      </c>
      <c r="I52" s="158">
        <f>IF($B52=" ","",IFERROR(INDEX(MMWR_RATING_STATE_ROLLUP_QST[],MATCH($B52,MMWR_RATING_STATE_ROLLUP_QST[MMWR_RATING_STATE_ROLLUP_QST],0),MATCH(I$9,MMWR_RATING_STATE_ROLLUP_QST[#Headers],0)),"ERROR"))</f>
        <v>143.30275229360001</v>
      </c>
      <c r="J52" s="42"/>
      <c r="K52" s="42"/>
      <c r="L52" s="42"/>
      <c r="M52" s="42"/>
      <c r="N52" s="28"/>
    </row>
    <row r="53" spans="1:14" x14ac:dyDescent="0.2">
      <c r="A53" s="25"/>
      <c r="B53" s="8" t="str">
        <f>VLOOKUP($B$15,DISTRICT_STATES[],3,0)</f>
        <v>Delaware</v>
      </c>
      <c r="C53" s="157">
        <f>IF($B53=" ","",IFERROR(INDEX(MMWR_RATING_STATE_ROLLUP_QST[],MATCH($B53,MMWR_RATING_STATE_ROLLUP_QST[MMWR_RATING_STATE_ROLLUP_QST],0),MATCH(C$9,MMWR_RATING_STATE_ROLLUP_QST[#Headers],0)),"ERROR"))</f>
        <v>13</v>
      </c>
      <c r="D53" s="158">
        <f>IF($B53=" ","",IFERROR(INDEX(MMWR_RATING_STATE_ROLLUP_QST[],MATCH($B53,MMWR_RATING_STATE_ROLLUP_QST[MMWR_RATING_STATE_ROLLUP_QST],0),MATCH(D$9,MMWR_RATING_STATE_ROLLUP_QST[#Headers],0)),"ERROR"))</f>
        <v>72</v>
      </c>
      <c r="E53" s="159">
        <f>IF($B53=" ","",IFERROR(INDEX(MMWR_RATING_STATE_ROLLUP_QST[],MATCH($B53,MMWR_RATING_STATE_ROLLUP_QST[MMWR_RATING_STATE_ROLLUP_QST],0),MATCH(E$9,MMWR_RATING_STATE_ROLLUP_QST[#Headers],0))/$C53,"ERROR"))</f>
        <v>0.23076923076923078</v>
      </c>
      <c r="F53" s="157">
        <f>IF($B53=" ","",IFERROR(INDEX(MMWR_RATING_STATE_ROLLUP_QST[],MATCH($B53,MMWR_RATING_STATE_ROLLUP_QST[MMWR_RATING_STATE_ROLLUP_QST],0),MATCH(F$9,MMWR_RATING_STATE_ROLLUP_QST[#Headers],0)),"ERROR"))</f>
        <v>3</v>
      </c>
      <c r="G53" s="157">
        <f>IF($B53=" ","",IFERROR(INDEX(MMWR_RATING_STATE_ROLLUP_QST[],MATCH($B53,MMWR_RATING_STATE_ROLLUP_QST[MMWR_RATING_STATE_ROLLUP_QST],0),MATCH(G$9,MMWR_RATING_STATE_ROLLUP_QST[#Headers],0)),"ERROR"))</f>
        <v>35</v>
      </c>
      <c r="H53" s="158">
        <f>IF($B53=" ","",IFERROR(INDEX(MMWR_RATING_STATE_ROLLUP_QST[],MATCH($B53,MMWR_RATING_STATE_ROLLUP_QST[MMWR_RATING_STATE_ROLLUP_QST],0),MATCH(H$9,MMWR_RATING_STATE_ROLLUP_QST[#Headers],0)),"ERROR"))</f>
        <v>136.6666666667</v>
      </c>
      <c r="I53" s="158">
        <f>IF($B53=" ","",IFERROR(INDEX(MMWR_RATING_STATE_ROLLUP_QST[],MATCH($B53,MMWR_RATING_STATE_ROLLUP_QST[MMWR_RATING_STATE_ROLLUP_QST],0),MATCH(I$9,MMWR_RATING_STATE_ROLLUP_QST[#Headers],0)),"ERROR"))</f>
        <v>117.9714285714</v>
      </c>
      <c r="J53" s="42"/>
      <c r="K53" s="42"/>
      <c r="L53" s="42"/>
      <c r="M53" s="42"/>
      <c r="N53" s="28"/>
    </row>
    <row r="54" spans="1:14" x14ac:dyDescent="0.2">
      <c r="A54" s="25"/>
      <c r="B54" s="8" t="str">
        <f>VLOOKUP($B$15,DISTRICT_STATES[],4,0)</f>
        <v>District of Columbia</v>
      </c>
      <c r="C54" s="157">
        <f>IF($B54=" ","",IFERROR(INDEX(MMWR_RATING_STATE_ROLLUP_QST[],MATCH($B54,MMWR_RATING_STATE_ROLLUP_QST[MMWR_RATING_STATE_ROLLUP_QST],0),MATCH(C$9,MMWR_RATING_STATE_ROLLUP_QST[#Headers],0)),"ERROR"))</f>
        <v>10</v>
      </c>
      <c r="D54" s="158">
        <f>IF($B54=" ","",IFERROR(INDEX(MMWR_RATING_STATE_ROLLUP_QST[],MATCH($B54,MMWR_RATING_STATE_ROLLUP_QST[MMWR_RATING_STATE_ROLLUP_QST],0),MATCH(D$9,MMWR_RATING_STATE_ROLLUP_QST[#Headers],0)),"ERROR"))</f>
        <v>77.3</v>
      </c>
      <c r="E54" s="159">
        <f>IF($B54=" ","",IFERROR(INDEX(MMWR_RATING_STATE_ROLLUP_QST[],MATCH($B54,MMWR_RATING_STATE_ROLLUP_QST[MMWR_RATING_STATE_ROLLUP_QST],0),MATCH(E$9,MMWR_RATING_STATE_ROLLUP_QST[#Headers],0))/$C54,"ERROR"))</f>
        <v>0.3</v>
      </c>
      <c r="F54" s="157">
        <f>IF($B54=" ","",IFERROR(INDEX(MMWR_RATING_STATE_ROLLUP_QST[],MATCH($B54,MMWR_RATING_STATE_ROLLUP_QST[MMWR_RATING_STATE_ROLLUP_QST],0),MATCH(F$9,MMWR_RATING_STATE_ROLLUP_QST[#Headers],0)),"ERROR"))</f>
        <v>1</v>
      </c>
      <c r="G54" s="157">
        <f>IF($B54=" ","",IFERROR(INDEX(MMWR_RATING_STATE_ROLLUP_QST[],MATCH($B54,MMWR_RATING_STATE_ROLLUP_QST[MMWR_RATING_STATE_ROLLUP_QST],0),MATCH(G$9,MMWR_RATING_STATE_ROLLUP_QST[#Headers],0)),"ERROR"))</f>
        <v>38</v>
      </c>
      <c r="H54" s="158">
        <f>IF($B54=" ","",IFERROR(INDEX(MMWR_RATING_STATE_ROLLUP_QST[],MATCH($B54,MMWR_RATING_STATE_ROLLUP_QST[MMWR_RATING_STATE_ROLLUP_QST],0),MATCH(H$9,MMWR_RATING_STATE_ROLLUP_QST[#Headers],0)),"ERROR"))</f>
        <v>138</v>
      </c>
      <c r="I54" s="158">
        <f>IF($B54=" ","",IFERROR(INDEX(MMWR_RATING_STATE_ROLLUP_QST[],MATCH($B54,MMWR_RATING_STATE_ROLLUP_QST[MMWR_RATING_STATE_ROLLUP_QST],0),MATCH(I$9,MMWR_RATING_STATE_ROLLUP_QST[#Headers],0)),"ERROR"))</f>
        <v>142.7105263158</v>
      </c>
      <c r="J54" s="42"/>
      <c r="K54" s="42"/>
      <c r="L54" s="42"/>
      <c r="M54" s="42"/>
      <c r="N54" s="28"/>
    </row>
    <row r="55" spans="1:14" x14ac:dyDescent="0.2">
      <c r="A55" s="25"/>
      <c r="B55" s="8" t="str">
        <f>VLOOKUP($B$15,DISTRICT_STATES[],5,0)</f>
        <v>Maine</v>
      </c>
      <c r="C55" s="157">
        <f>IF($B55=" ","",IFERROR(INDEX(MMWR_RATING_STATE_ROLLUP_QST[],MATCH($B55,MMWR_RATING_STATE_ROLLUP_QST[MMWR_RATING_STATE_ROLLUP_QST],0),MATCH(C$9,MMWR_RATING_STATE_ROLLUP_QST[#Headers],0)),"ERROR"))</f>
        <v>14</v>
      </c>
      <c r="D55" s="158">
        <f>IF($B55=" ","",IFERROR(INDEX(MMWR_RATING_STATE_ROLLUP_QST[],MATCH($B55,MMWR_RATING_STATE_ROLLUP_QST[MMWR_RATING_STATE_ROLLUP_QST],0),MATCH(D$9,MMWR_RATING_STATE_ROLLUP_QST[#Headers],0)),"ERROR"))</f>
        <v>78.214285714300004</v>
      </c>
      <c r="E55" s="159">
        <f>IF($B55=" ","",IFERROR(INDEX(MMWR_RATING_STATE_ROLLUP_QST[],MATCH($B55,MMWR_RATING_STATE_ROLLUP_QST[MMWR_RATING_STATE_ROLLUP_QST],0),MATCH(E$9,MMWR_RATING_STATE_ROLLUP_QST[#Headers],0))/$C55,"ERROR"))</f>
        <v>0.2857142857142857</v>
      </c>
      <c r="F55" s="157">
        <f>IF($B55=" ","",IFERROR(INDEX(MMWR_RATING_STATE_ROLLUP_QST[],MATCH($B55,MMWR_RATING_STATE_ROLLUP_QST[MMWR_RATING_STATE_ROLLUP_QST],0),MATCH(F$9,MMWR_RATING_STATE_ROLLUP_QST[#Headers],0)),"ERROR"))</f>
        <v>7</v>
      </c>
      <c r="G55" s="157">
        <f>IF($B55=" ","",IFERROR(INDEX(MMWR_RATING_STATE_ROLLUP_QST[],MATCH($B55,MMWR_RATING_STATE_ROLLUP_QST[MMWR_RATING_STATE_ROLLUP_QST],0),MATCH(G$9,MMWR_RATING_STATE_ROLLUP_QST[#Headers],0)),"ERROR"))</f>
        <v>55</v>
      </c>
      <c r="H55" s="158">
        <f>IF($B55=" ","",IFERROR(INDEX(MMWR_RATING_STATE_ROLLUP_QST[],MATCH($B55,MMWR_RATING_STATE_ROLLUP_QST[MMWR_RATING_STATE_ROLLUP_QST],0),MATCH(H$9,MMWR_RATING_STATE_ROLLUP_QST[#Headers],0)),"ERROR"))</f>
        <v>118</v>
      </c>
      <c r="I55" s="158">
        <f>IF($B55=" ","",IFERROR(INDEX(MMWR_RATING_STATE_ROLLUP_QST[],MATCH($B55,MMWR_RATING_STATE_ROLLUP_QST[MMWR_RATING_STATE_ROLLUP_QST],0),MATCH(I$9,MMWR_RATING_STATE_ROLLUP_QST[#Headers],0)),"ERROR"))</f>
        <v>129.2545454545</v>
      </c>
      <c r="J55" s="42"/>
      <c r="K55" s="42"/>
      <c r="L55" s="42"/>
      <c r="M55" s="42"/>
      <c r="N55" s="28"/>
    </row>
    <row r="56" spans="1:14" x14ac:dyDescent="0.2">
      <c r="A56" s="25"/>
      <c r="B56" s="8" t="str">
        <f>VLOOKUP($B$15,DISTRICT_STATES[],6,0)</f>
        <v>Maryland</v>
      </c>
      <c r="C56" s="157">
        <f>IF($B56=" ","",IFERROR(INDEX(MMWR_RATING_STATE_ROLLUP_QST[],MATCH($B56,MMWR_RATING_STATE_ROLLUP_QST[MMWR_RATING_STATE_ROLLUP_QST],0),MATCH(C$9,MMWR_RATING_STATE_ROLLUP_QST[#Headers],0)),"ERROR"))</f>
        <v>187</v>
      </c>
      <c r="D56" s="158">
        <f>IF($B56=" ","",IFERROR(INDEX(MMWR_RATING_STATE_ROLLUP_QST[],MATCH($B56,MMWR_RATING_STATE_ROLLUP_QST[MMWR_RATING_STATE_ROLLUP_QST],0),MATCH(D$9,MMWR_RATING_STATE_ROLLUP_QST[#Headers],0)),"ERROR"))</f>
        <v>71.6096256684</v>
      </c>
      <c r="E56" s="159">
        <f>IF($B56=" ","",IFERROR(INDEX(MMWR_RATING_STATE_ROLLUP_QST[],MATCH($B56,MMWR_RATING_STATE_ROLLUP_QST[MMWR_RATING_STATE_ROLLUP_QST],0),MATCH(E$9,MMWR_RATING_STATE_ROLLUP_QST[#Headers],0))/$C56,"ERROR"))</f>
        <v>0.14438502673796791</v>
      </c>
      <c r="F56" s="157">
        <f>IF($B56=" ","",IFERROR(INDEX(MMWR_RATING_STATE_ROLLUP_QST[],MATCH($B56,MMWR_RATING_STATE_ROLLUP_QST[MMWR_RATING_STATE_ROLLUP_QST],0),MATCH(F$9,MMWR_RATING_STATE_ROLLUP_QST[#Headers],0)),"ERROR"))</f>
        <v>28</v>
      </c>
      <c r="G56" s="157">
        <f>IF($B56=" ","",IFERROR(INDEX(MMWR_RATING_STATE_ROLLUP_QST[],MATCH($B56,MMWR_RATING_STATE_ROLLUP_QST[MMWR_RATING_STATE_ROLLUP_QST],0),MATCH(G$9,MMWR_RATING_STATE_ROLLUP_QST[#Headers],0)),"ERROR"))</f>
        <v>425</v>
      </c>
      <c r="H56" s="158">
        <f>IF($B56=" ","",IFERROR(INDEX(MMWR_RATING_STATE_ROLLUP_QST[],MATCH($B56,MMWR_RATING_STATE_ROLLUP_QST[MMWR_RATING_STATE_ROLLUP_QST],0),MATCH(H$9,MMWR_RATING_STATE_ROLLUP_QST[#Headers],0)),"ERROR"))</f>
        <v>146.42857142860001</v>
      </c>
      <c r="I56" s="158">
        <f>IF($B56=" ","",IFERROR(INDEX(MMWR_RATING_STATE_ROLLUP_QST[],MATCH($B56,MMWR_RATING_STATE_ROLLUP_QST[MMWR_RATING_STATE_ROLLUP_QST],0),MATCH(I$9,MMWR_RATING_STATE_ROLLUP_QST[#Headers],0)),"ERROR"))</f>
        <v>143.5011764706</v>
      </c>
      <c r="J56" s="42"/>
      <c r="K56" s="42"/>
      <c r="L56" s="42"/>
      <c r="M56" s="42"/>
      <c r="N56" s="28"/>
    </row>
    <row r="57" spans="1:14" x14ac:dyDescent="0.2">
      <c r="A57" s="25"/>
      <c r="B57" s="8" t="str">
        <f>VLOOKUP($B$15,DISTRICT_STATES[],7,0)</f>
        <v>Massachusetts</v>
      </c>
      <c r="C57" s="157">
        <f>IF($B57=" ","",IFERROR(INDEX(MMWR_RATING_STATE_ROLLUP_QST[],MATCH($B57,MMWR_RATING_STATE_ROLLUP_QST[MMWR_RATING_STATE_ROLLUP_QST],0),MATCH(C$9,MMWR_RATING_STATE_ROLLUP_QST[#Headers],0)),"ERROR"))</f>
        <v>71</v>
      </c>
      <c r="D57" s="158">
        <f>IF($B57=" ","",IFERROR(INDEX(MMWR_RATING_STATE_ROLLUP_QST[],MATCH($B57,MMWR_RATING_STATE_ROLLUP_QST[MMWR_RATING_STATE_ROLLUP_QST],0),MATCH(D$9,MMWR_RATING_STATE_ROLLUP_QST[#Headers],0)),"ERROR"))</f>
        <v>68.7887323944</v>
      </c>
      <c r="E57" s="159">
        <f>IF($B57=" ","",IFERROR(INDEX(MMWR_RATING_STATE_ROLLUP_QST[],MATCH($B57,MMWR_RATING_STATE_ROLLUP_QST[MMWR_RATING_STATE_ROLLUP_QST],0),MATCH(E$9,MMWR_RATING_STATE_ROLLUP_QST[#Headers],0))/$C57,"ERROR"))</f>
        <v>0.16901408450704225</v>
      </c>
      <c r="F57" s="157">
        <f>IF($B57=" ","",IFERROR(INDEX(MMWR_RATING_STATE_ROLLUP_QST[],MATCH($B57,MMWR_RATING_STATE_ROLLUP_QST[MMWR_RATING_STATE_ROLLUP_QST],0),MATCH(F$9,MMWR_RATING_STATE_ROLLUP_QST[#Headers],0)),"ERROR"))</f>
        <v>14</v>
      </c>
      <c r="G57" s="157">
        <f>IF($B57=" ","",IFERROR(INDEX(MMWR_RATING_STATE_ROLLUP_QST[],MATCH($B57,MMWR_RATING_STATE_ROLLUP_QST[MMWR_RATING_STATE_ROLLUP_QST],0),MATCH(G$9,MMWR_RATING_STATE_ROLLUP_QST[#Headers],0)),"ERROR"))</f>
        <v>169</v>
      </c>
      <c r="H57" s="158">
        <f>IF($B57=" ","",IFERROR(INDEX(MMWR_RATING_STATE_ROLLUP_QST[],MATCH($B57,MMWR_RATING_STATE_ROLLUP_QST[MMWR_RATING_STATE_ROLLUP_QST],0),MATCH(H$9,MMWR_RATING_STATE_ROLLUP_QST[#Headers],0)),"ERROR"))</f>
        <v>107.2142857143</v>
      </c>
      <c r="I57" s="158">
        <f>IF($B57=" ","",IFERROR(INDEX(MMWR_RATING_STATE_ROLLUP_QST[],MATCH($B57,MMWR_RATING_STATE_ROLLUP_QST[MMWR_RATING_STATE_ROLLUP_QST],0),MATCH(I$9,MMWR_RATING_STATE_ROLLUP_QST[#Headers],0)),"ERROR"))</f>
        <v>130.39644970410001</v>
      </c>
      <c r="J57" s="42"/>
      <c r="K57" s="42"/>
      <c r="L57" s="42"/>
      <c r="M57" s="42"/>
      <c r="N57" s="28"/>
    </row>
    <row r="58" spans="1:14" x14ac:dyDescent="0.2">
      <c r="A58" s="25"/>
      <c r="B58" s="8" t="str">
        <f>VLOOKUP($B$15,DISTRICT_STATES[],8,0)</f>
        <v>New Hampshire</v>
      </c>
      <c r="C58" s="157">
        <f>IF($B58=" ","",IFERROR(INDEX(MMWR_RATING_STATE_ROLLUP_QST[],MATCH($B58,MMWR_RATING_STATE_ROLLUP_QST[MMWR_RATING_STATE_ROLLUP_QST],0),MATCH(C$9,MMWR_RATING_STATE_ROLLUP_QST[#Headers],0)),"ERROR"))</f>
        <v>18</v>
      </c>
      <c r="D58" s="158">
        <f>IF($B58=" ","",IFERROR(INDEX(MMWR_RATING_STATE_ROLLUP_QST[],MATCH($B58,MMWR_RATING_STATE_ROLLUP_QST[MMWR_RATING_STATE_ROLLUP_QST],0),MATCH(D$9,MMWR_RATING_STATE_ROLLUP_QST[#Headers],0)),"ERROR"))</f>
        <v>79.722222222200003</v>
      </c>
      <c r="E58" s="159">
        <f>IF($B58=" ","",IFERROR(INDEX(MMWR_RATING_STATE_ROLLUP_QST[],MATCH($B58,MMWR_RATING_STATE_ROLLUP_QST[MMWR_RATING_STATE_ROLLUP_QST],0),MATCH(E$9,MMWR_RATING_STATE_ROLLUP_QST[#Headers],0))/$C58,"ERROR"))</f>
        <v>0.16666666666666666</v>
      </c>
      <c r="F58" s="157">
        <f>IF($B58=" ","",IFERROR(INDEX(MMWR_RATING_STATE_ROLLUP_QST[],MATCH($B58,MMWR_RATING_STATE_ROLLUP_QST[MMWR_RATING_STATE_ROLLUP_QST],0),MATCH(F$9,MMWR_RATING_STATE_ROLLUP_QST[#Headers],0)),"ERROR"))</f>
        <v>1</v>
      </c>
      <c r="G58" s="157">
        <f>IF($B58=" ","",IFERROR(INDEX(MMWR_RATING_STATE_ROLLUP_QST[],MATCH($B58,MMWR_RATING_STATE_ROLLUP_QST[MMWR_RATING_STATE_ROLLUP_QST],0),MATCH(G$9,MMWR_RATING_STATE_ROLLUP_QST[#Headers],0)),"ERROR"))</f>
        <v>50</v>
      </c>
      <c r="H58" s="158">
        <f>IF($B58=" ","",IFERROR(INDEX(MMWR_RATING_STATE_ROLLUP_QST[],MATCH($B58,MMWR_RATING_STATE_ROLLUP_QST[MMWR_RATING_STATE_ROLLUP_QST],0),MATCH(H$9,MMWR_RATING_STATE_ROLLUP_QST[#Headers],0)),"ERROR"))</f>
        <v>192</v>
      </c>
      <c r="I58" s="158">
        <f>IF($B58=" ","",IFERROR(INDEX(MMWR_RATING_STATE_ROLLUP_QST[],MATCH($B58,MMWR_RATING_STATE_ROLLUP_QST[MMWR_RATING_STATE_ROLLUP_QST],0),MATCH(I$9,MMWR_RATING_STATE_ROLLUP_QST[#Headers],0)),"ERROR"))</f>
        <v>118.48</v>
      </c>
      <c r="J58" s="42"/>
      <c r="K58" s="42"/>
      <c r="L58" s="42"/>
      <c r="M58" s="42"/>
      <c r="N58" s="28"/>
    </row>
    <row r="59" spans="1:14" x14ac:dyDescent="0.2">
      <c r="A59" s="25"/>
      <c r="B59" s="8" t="str">
        <f>VLOOKUP($B$15,DISTRICT_STATES[],9,0)</f>
        <v>New Jersey</v>
      </c>
      <c r="C59" s="157">
        <f>IF($B59=" ","",IFERROR(INDEX(MMWR_RATING_STATE_ROLLUP_QST[],MATCH($B59,MMWR_RATING_STATE_ROLLUP_QST[MMWR_RATING_STATE_ROLLUP_QST],0),MATCH(C$9,MMWR_RATING_STATE_ROLLUP_QST[#Headers],0)),"ERROR"))</f>
        <v>79</v>
      </c>
      <c r="D59" s="158">
        <f>IF($B59=" ","",IFERROR(INDEX(MMWR_RATING_STATE_ROLLUP_QST[],MATCH($B59,MMWR_RATING_STATE_ROLLUP_QST[MMWR_RATING_STATE_ROLLUP_QST],0),MATCH(D$9,MMWR_RATING_STATE_ROLLUP_QST[#Headers],0)),"ERROR"))</f>
        <v>65.050632911400001</v>
      </c>
      <c r="E59" s="159">
        <f>IF($B59=" ","",IFERROR(INDEX(MMWR_RATING_STATE_ROLLUP_QST[],MATCH($B59,MMWR_RATING_STATE_ROLLUP_QST[MMWR_RATING_STATE_ROLLUP_QST],0),MATCH(E$9,MMWR_RATING_STATE_ROLLUP_QST[#Headers],0))/$C59,"ERROR"))</f>
        <v>0.10126582278481013</v>
      </c>
      <c r="F59" s="157">
        <f>IF($B59=" ","",IFERROR(INDEX(MMWR_RATING_STATE_ROLLUP_QST[],MATCH($B59,MMWR_RATING_STATE_ROLLUP_QST[MMWR_RATING_STATE_ROLLUP_QST],0),MATCH(F$9,MMWR_RATING_STATE_ROLLUP_QST[#Headers],0)),"ERROR"))</f>
        <v>9</v>
      </c>
      <c r="G59" s="157">
        <f>IF($B59=" ","",IFERROR(INDEX(MMWR_RATING_STATE_ROLLUP_QST[],MATCH($B59,MMWR_RATING_STATE_ROLLUP_QST[MMWR_RATING_STATE_ROLLUP_QST],0),MATCH(G$9,MMWR_RATING_STATE_ROLLUP_QST[#Headers],0)),"ERROR"))</f>
        <v>168</v>
      </c>
      <c r="H59" s="158">
        <f>IF($B59=" ","",IFERROR(INDEX(MMWR_RATING_STATE_ROLLUP_QST[],MATCH($B59,MMWR_RATING_STATE_ROLLUP_QST[MMWR_RATING_STATE_ROLLUP_QST],0),MATCH(H$9,MMWR_RATING_STATE_ROLLUP_QST[#Headers],0)),"ERROR"))</f>
        <v>142.1111111111</v>
      </c>
      <c r="I59" s="158">
        <f>IF($B59=" ","",IFERROR(INDEX(MMWR_RATING_STATE_ROLLUP_QST[],MATCH($B59,MMWR_RATING_STATE_ROLLUP_QST[MMWR_RATING_STATE_ROLLUP_QST],0),MATCH(I$9,MMWR_RATING_STATE_ROLLUP_QST[#Headers],0)),"ERROR"))</f>
        <v>139.3511904762</v>
      </c>
      <c r="J59" s="42"/>
      <c r="K59" s="42"/>
      <c r="L59" s="42"/>
      <c r="M59" s="42"/>
      <c r="N59" s="28"/>
    </row>
    <row r="60" spans="1:14" x14ac:dyDescent="0.2">
      <c r="A60" s="25"/>
      <c r="B60" s="8" t="str">
        <f>VLOOKUP($B$15,DISTRICT_STATES[],10,0)</f>
        <v>New York</v>
      </c>
      <c r="C60" s="157">
        <f>IF($B60=" ","",IFERROR(INDEX(MMWR_RATING_STATE_ROLLUP_QST[],MATCH($B60,MMWR_RATING_STATE_ROLLUP_QST[MMWR_RATING_STATE_ROLLUP_QST],0),MATCH(C$9,MMWR_RATING_STATE_ROLLUP_QST[#Headers],0)),"ERROR"))</f>
        <v>203</v>
      </c>
      <c r="D60" s="158">
        <f>IF($B60=" ","",IFERROR(INDEX(MMWR_RATING_STATE_ROLLUP_QST[],MATCH($B60,MMWR_RATING_STATE_ROLLUP_QST[MMWR_RATING_STATE_ROLLUP_QST],0),MATCH(D$9,MMWR_RATING_STATE_ROLLUP_QST[#Headers],0)),"ERROR"))</f>
        <v>73.320197044300002</v>
      </c>
      <c r="E60" s="159">
        <f>IF($B60=" ","",IFERROR(INDEX(MMWR_RATING_STATE_ROLLUP_QST[],MATCH($B60,MMWR_RATING_STATE_ROLLUP_QST[MMWR_RATING_STATE_ROLLUP_QST],0),MATCH(E$9,MMWR_RATING_STATE_ROLLUP_QST[#Headers],0))/$C60,"ERROR"))</f>
        <v>0.15763546798029557</v>
      </c>
      <c r="F60" s="157">
        <f>IF($B60=" ","",IFERROR(INDEX(MMWR_RATING_STATE_ROLLUP_QST[],MATCH($B60,MMWR_RATING_STATE_ROLLUP_QST[MMWR_RATING_STATE_ROLLUP_QST],0),MATCH(F$9,MMWR_RATING_STATE_ROLLUP_QST[#Headers],0)),"ERROR"))</f>
        <v>39</v>
      </c>
      <c r="G60" s="157">
        <f>IF($B60=" ","",IFERROR(INDEX(MMWR_RATING_STATE_ROLLUP_QST[],MATCH($B60,MMWR_RATING_STATE_ROLLUP_QST[MMWR_RATING_STATE_ROLLUP_QST],0),MATCH(G$9,MMWR_RATING_STATE_ROLLUP_QST[#Headers],0)),"ERROR"))</f>
        <v>399</v>
      </c>
      <c r="H60" s="158">
        <f>IF($B60=" ","",IFERROR(INDEX(MMWR_RATING_STATE_ROLLUP_QST[],MATCH($B60,MMWR_RATING_STATE_ROLLUP_QST[MMWR_RATING_STATE_ROLLUP_QST],0),MATCH(H$9,MMWR_RATING_STATE_ROLLUP_QST[#Headers],0)),"ERROR"))</f>
        <v>120.58974358970001</v>
      </c>
      <c r="I60" s="158">
        <f>IF($B60=" ","",IFERROR(INDEX(MMWR_RATING_STATE_ROLLUP_QST[],MATCH($B60,MMWR_RATING_STATE_ROLLUP_QST[MMWR_RATING_STATE_ROLLUP_QST],0),MATCH(I$9,MMWR_RATING_STATE_ROLLUP_QST[#Headers],0)),"ERROR"))</f>
        <v>138.12781954889999</v>
      </c>
      <c r="J60" s="42"/>
      <c r="K60" s="42"/>
      <c r="L60" s="42"/>
      <c r="M60" s="42"/>
      <c r="N60" s="28"/>
    </row>
    <row r="61" spans="1:14" x14ac:dyDescent="0.2">
      <c r="A61" s="25"/>
      <c r="B61" s="8" t="str">
        <f>VLOOKUP($B$15,DISTRICT_STATES[],11,0)</f>
        <v>North Carolina</v>
      </c>
      <c r="C61" s="157">
        <f>IF($B61=" ","",IFERROR(INDEX(MMWR_RATING_STATE_ROLLUP_QST[],MATCH($B61,MMWR_RATING_STATE_ROLLUP_QST[MMWR_RATING_STATE_ROLLUP_QST],0),MATCH(C$9,MMWR_RATING_STATE_ROLLUP_QST[#Headers],0)),"ERROR"))</f>
        <v>487</v>
      </c>
      <c r="D61" s="158">
        <f>IF($B61=" ","",IFERROR(INDEX(MMWR_RATING_STATE_ROLLUP_QST[],MATCH($B61,MMWR_RATING_STATE_ROLLUP_QST[MMWR_RATING_STATE_ROLLUP_QST],0),MATCH(D$9,MMWR_RATING_STATE_ROLLUP_QST[#Headers],0)),"ERROR"))</f>
        <v>76.112936344999994</v>
      </c>
      <c r="E61" s="159">
        <f>IF($B61=" ","",IFERROR(INDEX(MMWR_RATING_STATE_ROLLUP_QST[],MATCH($B61,MMWR_RATING_STATE_ROLLUP_QST[MMWR_RATING_STATE_ROLLUP_QST],0),MATCH(E$9,MMWR_RATING_STATE_ROLLUP_QST[#Headers],0))/$C61,"ERROR"))</f>
        <v>0.19301848049281314</v>
      </c>
      <c r="F61" s="157">
        <f>IF($B61=" ","",IFERROR(INDEX(MMWR_RATING_STATE_ROLLUP_QST[],MATCH($B61,MMWR_RATING_STATE_ROLLUP_QST[MMWR_RATING_STATE_ROLLUP_QST],0),MATCH(F$9,MMWR_RATING_STATE_ROLLUP_QST[#Headers],0)),"ERROR"))</f>
        <v>83</v>
      </c>
      <c r="G61" s="157">
        <f>IF($B61=" ","",IFERROR(INDEX(MMWR_RATING_STATE_ROLLUP_QST[],MATCH($B61,MMWR_RATING_STATE_ROLLUP_QST[MMWR_RATING_STATE_ROLLUP_QST],0),MATCH(G$9,MMWR_RATING_STATE_ROLLUP_QST[#Headers],0)),"ERROR"))</f>
        <v>975</v>
      </c>
      <c r="H61" s="158">
        <f>IF($B61=" ","",IFERROR(INDEX(MMWR_RATING_STATE_ROLLUP_QST[],MATCH($B61,MMWR_RATING_STATE_ROLLUP_QST[MMWR_RATING_STATE_ROLLUP_QST],0),MATCH(H$9,MMWR_RATING_STATE_ROLLUP_QST[#Headers],0)),"ERROR"))</f>
        <v>142.46987951809999</v>
      </c>
      <c r="I61" s="158">
        <f>IF($B61=" ","",IFERROR(INDEX(MMWR_RATING_STATE_ROLLUP_QST[],MATCH($B61,MMWR_RATING_STATE_ROLLUP_QST[MMWR_RATING_STATE_ROLLUP_QST],0),MATCH(I$9,MMWR_RATING_STATE_ROLLUP_QST[#Headers],0)),"ERROR"))</f>
        <v>142.3138461538</v>
      </c>
      <c r="J61" s="42"/>
      <c r="K61" s="42"/>
      <c r="L61" s="42"/>
      <c r="M61" s="42"/>
      <c r="N61" s="28"/>
    </row>
    <row r="62" spans="1:14" x14ac:dyDescent="0.2">
      <c r="A62" s="25"/>
      <c r="B62" s="8" t="str">
        <f>VLOOKUP($B$15,DISTRICT_STATES[],12,0)</f>
        <v>Pennsylvania</v>
      </c>
      <c r="C62" s="157">
        <f>IF($B62=" ","",IFERROR(INDEX(MMWR_RATING_STATE_ROLLUP_QST[],MATCH($B62,MMWR_RATING_STATE_ROLLUP_QST[MMWR_RATING_STATE_ROLLUP_QST],0),MATCH(C$9,MMWR_RATING_STATE_ROLLUP_QST[#Headers],0)),"ERROR"))</f>
        <v>146</v>
      </c>
      <c r="D62" s="158">
        <f>IF($B62=" ","",IFERROR(INDEX(MMWR_RATING_STATE_ROLLUP_QST[],MATCH($B62,MMWR_RATING_STATE_ROLLUP_QST[MMWR_RATING_STATE_ROLLUP_QST],0),MATCH(D$9,MMWR_RATING_STATE_ROLLUP_QST[#Headers],0)),"ERROR"))</f>
        <v>75.575342465800006</v>
      </c>
      <c r="E62" s="159">
        <f>IF($B62=" ","",IFERROR(INDEX(MMWR_RATING_STATE_ROLLUP_QST[],MATCH($B62,MMWR_RATING_STATE_ROLLUP_QST[MMWR_RATING_STATE_ROLLUP_QST],0),MATCH(E$9,MMWR_RATING_STATE_ROLLUP_QST[#Headers],0))/$C62,"ERROR"))</f>
        <v>0.18493150684931506</v>
      </c>
      <c r="F62" s="157">
        <f>IF($B62=" ","",IFERROR(INDEX(MMWR_RATING_STATE_ROLLUP_QST[],MATCH($B62,MMWR_RATING_STATE_ROLLUP_QST[MMWR_RATING_STATE_ROLLUP_QST],0),MATCH(F$9,MMWR_RATING_STATE_ROLLUP_QST[#Headers],0)),"ERROR"))</f>
        <v>29</v>
      </c>
      <c r="G62" s="157">
        <f>IF($B62=" ","",IFERROR(INDEX(MMWR_RATING_STATE_ROLLUP_QST[],MATCH($B62,MMWR_RATING_STATE_ROLLUP_QST[MMWR_RATING_STATE_ROLLUP_QST],0),MATCH(G$9,MMWR_RATING_STATE_ROLLUP_QST[#Headers],0)),"ERROR"))</f>
        <v>384</v>
      </c>
      <c r="H62" s="158">
        <f>IF($B62=" ","",IFERROR(INDEX(MMWR_RATING_STATE_ROLLUP_QST[],MATCH($B62,MMWR_RATING_STATE_ROLLUP_QST[MMWR_RATING_STATE_ROLLUP_QST],0),MATCH(H$9,MMWR_RATING_STATE_ROLLUP_QST[#Headers],0)),"ERROR"))</f>
        <v>133.82758620690001</v>
      </c>
      <c r="I62" s="158">
        <f>IF($B62=" ","",IFERROR(INDEX(MMWR_RATING_STATE_ROLLUP_QST[],MATCH($B62,MMWR_RATING_STATE_ROLLUP_QST[MMWR_RATING_STATE_ROLLUP_QST],0),MATCH(I$9,MMWR_RATING_STATE_ROLLUP_QST[#Headers],0)),"ERROR"))</f>
        <v>131.96875</v>
      </c>
      <c r="J62" s="42"/>
      <c r="K62" s="42"/>
      <c r="L62" s="42"/>
      <c r="M62" s="42"/>
      <c r="N62" s="28"/>
    </row>
    <row r="63" spans="1:14" x14ac:dyDescent="0.2">
      <c r="A63" s="25"/>
      <c r="B63" s="8" t="str">
        <f>VLOOKUP($B$15,DISTRICT_STATES[],13,0)</f>
        <v>Rhode Island</v>
      </c>
      <c r="C63" s="157">
        <f>IF($B63=" ","",IFERROR(INDEX(MMWR_RATING_STATE_ROLLUP_QST[],MATCH($B63,MMWR_RATING_STATE_ROLLUP_QST[MMWR_RATING_STATE_ROLLUP_QST],0),MATCH(C$9,MMWR_RATING_STATE_ROLLUP_QST[#Headers],0)),"ERROR"))</f>
        <v>5</v>
      </c>
      <c r="D63" s="158">
        <f>IF($B63=" ","",IFERROR(INDEX(MMWR_RATING_STATE_ROLLUP_QST[],MATCH($B63,MMWR_RATING_STATE_ROLLUP_QST[MMWR_RATING_STATE_ROLLUP_QST],0),MATCH(D$9,MMWR_RATING_STATE_ROLLUP_QST[#Headers],0)),"ERROR"))</f>
        <v>62.4</v>
      </c>
      <c r="E63" s="159">
        <f>IF($B63=" ","",IFERROR(INDEX(MMWR_RATING_STATE_ROLLUP_QST[],MATCH($B63,MMWR_RATING_STATE_ROLLUP_QST[MMWR_RATING_STATE_ROLLUP_QST],0),MATCH(E$9,MMWR_RATING_STATE_ROLLUP_QST[#Headers],0))/$C63,"ERROR"))</f>
        <v>0.2</v>
      </c>
      <c r="F63" s="157">
        <f>IF($B63=" ","",IFERROR(INDEX(MMWR_RATING_STATE_ROLLUP_QST[],MATCH($B63,MMWR_RATING_STATE_ROLLUP_QST[MMWR_RATING_STATE_ROLLUP_QST],0),MATCH(F$9,MMWR_RATING_STATE_ROLLUP_QST[#Headers],0)),"ERROR"))</f>
        <v>0</v>
      </c>
      <c r="G63" s="157">
        <f>IF($B63=" ","",IFERROR(INDEX(MMWR_RATING_STATE_ROLLUP_QST[],MATCH($B63,MMWR_RATING_STATE_ROLLUP_QST[MMWR_RATING_STATE_ROLLUP_QST],0),MATCH(G$9,MMWR_RATING_STATE_ROLLUP_QST[#Headers],0)),"ERROR"))</f>
        <v>27</v>
      </c>
      <c r="H63" s="158">
        <f>IF($B63=" ","",IFERROR(INDEX(MMWR_RATING_STATE_ROLLUP_QST[],MATCH($B63,MMWR_RATING_STATE_ROLLUP_QST[MMWR_RATING_STATE_ROLLUP_QST],0),MATCH(H$9,MMWR_RATING_STATE_ROLLUP_QST[#Headers],0)),"ERROR"))</f>
        <v>0</v>
      </c>
      <c r="I63" s="158">
        <f>IF($B63=" ","",IFERROR(INDEX(MMWR_RATING_STATE_ROLLUP_QST[],MATCH($B63,MMWR_RATING_STATE_ROLLUP_QST[MMWR_RATING_STATE_ROLLUP_QST],0),MATCH(I$9,MMWR_RATING_STATE_ROLLUP_QST[#Headers],0)),"ERROR"))</f>
        <v>97.777777777799997</v>
      </c>
      <c r="J63" s="42"/>
      <c r="K63" s="42"/>
      <c r="L63" s="42"/>
      <c r="M63" s="42"/>
      <c r="N63" s="28"/>
    </row>
    <row r="64" spans="1:14" x14ac:dyDescent="0.2">
      <c r="A64" s="25"/>
      <c r="B64" s="8" t="str">
        <f>VLOOKUP($B$15,DISTRICT_STATES[],14,0)</f>
        <v>Vermont</v>
      </c>
      <c r="C64" s="157">
        <f>IF($B64=" ","",IFERROR(INDEX(MMWR_RATING_STATE_ROLLUP_QST[],MATCH($B64,MMWR_RATING_STATE_ROLLUP_QST[MMWR_RATING_STATE_ROLLUP_QST],0),MATCH(C$9,MMWR_RATING_STATE_ROLLUP_QST[#Headers],0)),"ERROR"))</f>
        <v>5</v>
      </c>
      <c r="D64" s="158">
        <f>IF($B64=" ","",IFERROR(INDEX(MMWR_RATING_STATE_ROLLUP_QST[],MATCH($B64,MMWR_RATING_STATE_ROLLUP_QST[MMWR_RATING_STATE_ROLLUP_QST],0),MATCH(D$9,MMWR_RATING_STATE_ROLLUP_QST[#Headers],0)),"ERROR"))</f>
        <v>81.400000000000006</v>
      </c>
      <c r="E64" s="159">
        <f>IF($B64=" ","",IFERROR(INDEX(MMWR_RATING_STATE_ROLLUP_QST[],MATCH($B64,MMWR_RATING_STATE_ROLLUP_QST[MMWR_RATING_STATE_ROLLUP_QST],0),MATCH(E$9,MMWR_RATING_STATE_ROLLUP_QST[#Headers],0))/$C64,"ERROR"))</f>
        <v>0</v>
      </c>
      <c r="F64" s="157">
        <f>IF($B64=" ","",IFERROR(INDEX(MMWR_RATING_STATE_ROLLUP_QST[],MATCH($B64,MMWR_RATING_STATE_ROLLUP_QST[MMWR_RATING_STATE_ROLLUP_QST],0),MATCH(F$9,MMWR_RATING_STATE_ROLLUP_QST[#Headers],0)),"ERROR"))</f>
        <v>1</v>
      </c>
      <c r="G64" s="157">
        <f>IF($B64=" ","",IFERROR(INDEX(MMWR_RATING_STATE_ROLLUP_QST[],MATCH($B64,MMWR_RATING_STATE_ROLLUP_QST[MMWR_RATING_STATE_ROLLUP_QST],0),MATCH(G$9,MMWR_RATING_STATE_ROLLUP_QST[#Headers],0)),"ERROR"))</f>
        <v>19</v>
      </c>
      <c r="H64" s="158">
        <f>IF($B64=" ","",IFERROR(INDEX(MMWR_RATING_STATE_ROLLUP_QST[],MATCH($B64,MMWR_RATING_STATE_ROLLUP_QST[MMWR_RATING_STATE_ROLLUP_QST],0),MATCH(H$9,MMWR_RATING_STATE_ROLLUP_QST[#Headers],0)),"ERROR"))</f>
        <v>113</v>
      </c>
      <c r="I64" s="158">
        <f>IF($B64=" ","",IFERROR(INDEX(MMWR_RATING_STATE_ROLLUP_QST[],MATCH($B64,MMWR_RATING_STATE_ROLLUP_QST[MMWR_RATING_STATE_ROLLUP_QST],0),MATCH(I$9,MMWR_RATING_STATE_ROLLUP_QST[#Headers],0)),"ERROR"))</f>
        <v>139.63157894739999</v>
      </c>
      <c r="J64" s="42"/>
      <c r="K64" s="42"/>
      <c r="L64" s="42"/>
      <c r="M64" s="42"/>
      <c r="N64" s="28"/>
    </row>
    <row r="65" spans="1:14" x14ac:dyDescent="0.2">
      <c r="A65" s="25"/>
      <c r="B65" s="8" t="str">
        <f>VLOOKUP($B$15,DISTRICT_STATES[],15,0)</f>
        <v>Virginia</v>
      </c>
      <c r="C65" s="157">
        <f>IF($B65=" ","",IFERROR(INDEX(MMWR_RATING_STATE_ROLLUP_QST[],MATCH($B65,MMWR_RATING_STATE_ROLLUP_QST[MMWR_RATING_STATE_ROLLUP_QST],0),MATCH(C$9,MMWR_RATING_STATE_ROLLUP_QST[#Headers],0)),"ERROR"))</f>
        <v>535</v>
      </c>
      <c r="D65" s="158">
        <f>IF($B65=" ","",IFERROR(INDEX(MMWR_RATING_STATE_ROLLUP_QST[],MATCH($B65,MMWR_RATING_STATE_ROLLUP_QST[MMWR_RATING_STATE_ROLLUP_QST],0),MATCH(D$9,MMWR_RATING_STATE_ROLLUP_QST[#Headers],0)),"ERROR"))</f>
        <v>83.385046728999995</v>
      </c>
      <c r="E65" s="159">
        <f>IF($B65=" ","",IFERROR(INDEX(MMWR_RATING_STATE_ROLLUP_QST[],MATCH($B65,MMWR_RATING_STATE_ROLLUP_QST[MMWR_RATING_STATE_ROLLUP_QST],0),MATCH(E$9,MMWR_RATING_STATE_ROLLUP_QST[#Headers],0))/$C65,"ERROR"))</f>
        <v>0.2</v>
      </c>
      <c r="F65" s="157">
        <f>IF($B65=" ","",IFERROR(INDEX(MMWR_RATING_STATE_ROLLUP_QST[],MATCH($B65,MMWR_RATING_STATE_ROLLUP_QST[MMWR_RATING_STATE_ROLLUP_QST],0),MATCH(F$9,MMWR_RATING_STATE_ROLLUP_QST[#Headers],0)),"ERROR"))</f>
        <v>91</v>
      </c>
      <c r="G65" s="157">
        <f>IF($B65=" ","",IFERROR(INDEX(MMWR_RATING_STATE_ROLLUP_QST[],MATCH($B65,MMWR_RATING_STATE_ROLLUP_QST[MMWR_RATING_STATE_ROLLUP_QST],0),MATCH(G$9,MMWR_RATING_STATE_ROLLUP_QST[#Headers],0)),"ERROR"))</f>
        <v>1138</v>
      </c>
      <c r="H65" s="158">
        <f>IF($B65=" ","",IFERROR(INDEX(MMWR_RATING_STATE_ROLLUP_QST[],MATCH($B65,MMWR_RATING_STATE_ROLLUP_QST[MMWR_RATING_STATE_ROLLUP_QST],0),MATCH(H$9,MMWR_RATING_STATE_ROLLUP_QST[#Headers],0)),"ERROR"))</f>
        <v>138.07692307689999</v>
      </c>
      <c r="I65" s="158">
        <f>IF($B65=" ","",IFERROR(INDEX(MMWR_RATING_STATE_ROLLUP_QST[],MATCH($B65,MMWR_RATING_STATE_ROLLUP_QST[MMWR_RATING_STATE_ROLLUP_QST],0),MATCH(I$9,MMWR_RATING_STATE_ROLLUP_QST[#Headers],0)),"ERROR"))</f>
        <v>149.53690685410001</v>
      </c>
      <c r="J65" s="42"/>
      <c r="K65" s="42"/>
      <c r="L65" s="42"/>
      <c r="M65" s="42"/>
      <c r="N65" s="28"/>
    </row>
    <row r="66" spans="1:14" x14ac:dyDescent="0.2">
      <c r="A66" s="25"/>
      <c r="B66" s="8" t="str">
        <f>VLOOKUP($B$15,DISTRICT_STATES[],16,0)</f>
        <v>West Virginia</v>
      </c>
      <c r="C66" s="157">
        <f>IF($B66=" ","",IFERROR(INDEX(MMWR_RATING_STATE_ROLLUP_QST[],MATCH($B66,MMWR_RATING_STATE_ROLLUP_QST[MMWR_RATING_STATE_ROLLUP_QST],0),MATCH(C$9,MMWR_RATING_STATE_ROLLUP_QST[#Headers],0)),"ERROR"))</f>
        <v>18</v>
      </c>
      <c r="D66" s="158">
        <f>IF($B66=" ","",IFERROR(INDEX(MMWR_RATING_STATE_ROLLUP_QST[],MATCH($B66,MMWR_RATING_STATE_ROLLUP_QST[MMWR_RATING_STATE_ROLLUP_QST],0),MATCH(D$9,MMWR_RATING_STATE_ROLLUP_QST[#Headers],0)),"ERROR"))</f>
        <v>56.111111111100001</v>
      </c>
      <c r="E66" s="159">
        <f>IF($B66=" ","",IFERROR(INDEX(MMWR_RATING_STATE_ROLLUP_QST[],MATCH($B66,MMWR_RATING_STATE_ROLLUP_QST[MMWR_RATING_STATE_ROLLUP_QST],0),MATCH(E$9,MMWR_RATING_STATE_ROLLUP_QST[#Headers],0))/$C66,"ERROR"))</f>
        <v>0.1111111111111111</v>
      </c>
      <c r="F66" s="157">
        <f>IF($B66=" ","",IFERROR(INDEX(MMWR_RATING_STATE_ROLLUP_QST[],MATCH($B66,MMWR_RATING_STATE_ROLLUP_QST[MMWR_RATING_STATE_ROLLUP_QST],0),MATCH(F$9,MMWR_RATING_STATE_ROLLUP_QST[#Headers],0)),"ERROR"))</f>
        <v>1</v>
      </c>
      <c r="G66" s="157">
        <f>IF($B66=" ","",IFERROR(INDEX(MMWR_RATING_STATE_ROLLUP_QST[],MATCH($B66,MMWR_RATING_STATE_ROLLUP_QST[MMWR_RATING_STATE_ROLLUP_QST],0),MATCH(G$9,MMWR_RATING_STATE_ROLLUP_QST[#Headers],0)),"ERROR"))</f>
        <v>53</v>
      </c>
      <c r="H66" s="158">
        <f>IF($B66=" ","",IFERROR(INDEX(MMWR_RATING_STATE_ROLLUP_QST[],MATCH($B66,MMWR_RATING_STATE_ROLLUP_QST[MMWR_RATING_STATE_ROLLUP_QST],0),MATCH(H$9,MMWR_RATING_STATE_ROLLUP_QST[#Headers],0)),"ERROR"))</f>
        <v>106</v>
      </c>
      <c r="I66" s="158">
        <f>IF($B66=" ","",IFERROR(INDEX(MMWR_RATING_STATE_ROLLUP_QST[],MATCH($B66,MMWR_RATING_STATE_ROLLUP_QST[MMWR_RATING_STATE_ROLLUP_QST],0),MATCH(I$9,MMWR_RATING_STATE_ROLLUP_QST[#Headers],0)),"ERROR"))</f>
        <v>128.03773584909999</v>
      </c>
      <c r="J66" s="42"/>
      <c r="K66" s="42"/>
      <c r="L66" s="42"/>
      <c r="M66" s="42"/>
      <c r="N66" s="28"/>
    </row>
    <row r="67" spans="1:14" x14ac:dyDescent="0.2">
      <c r="A67" s="25"/>
      <c r="B67" s="367" t="s">
        <v>1064</v>
      </c>
      <c r="C67" s="368"/>
      <c r="D67" s="368"/>
      <c r="E67" s="368"/>
      <c r="F67" s="368"/>
      <c r="G67" s="368"/>
      <c r="H67" s="368"/>
      <c r="I67" s="368"/>
      <c r="J67" s="368"/>
      <c r="K67" s="368"/>
      <c r="L67" s="368"/>
      <c r="M67" s="380"/>
      <c r="N67" s="28"/>
    </row>
    <row r="68" spans="1:14" ht="25.5" x14ac:dyDescent="0.2">
      <c r="A68" s="25"/>
      <c r="B68" s="255" t="s">
        <v>1060</v>
      </c>
      <c r="C68" s="157">
        <f>IF($B68=" ","",IFERROR(INDEX(MMWR_RATING_STATE_ROLLUP_BDD[],MATCH($B68,MMWR_RATING_STATE_ROLLUP_BDD[MMWR_RATING_STATE_ROLLUP_BDD],0),MATCH(C$9,MMWR_RATING_STATE_ROLLUP_BDD[#Headers],0)),"ERROR"))</f>
        <v>8196</v>
      </c>
      <c r="D68" s="158">
        <f>IF($B68=" ","",IFERROR(INDEX(MMWR_RATING_STATE_ROLLUP_BDD[],MATCH($B68,MMWR_RATING_STATE_ROLLUP_BDD[MMWR_RATING_STATE_ROLLUP_BDD],0),MATCH(D$9,MMWR_RATING_STATE_ROLLUP_BDD[#Headers],0)),"ERROR"))</f>
        <v>80.289165446599995</v>
      </c>
      <c r="E68" s="159">
        <f>IF($B68=" ","",IFERROR(INDEX(MMWR_RATING_STATE_ROLLUP_BDD[],MATCH($B68,MMWR_RATING_STATE_ROLLUP_BDD[MMWR_RATING_STATE_ROLLUP_BDD],0),MATCH(E$9,MMWR_RATING_STATE_ROLLUP_BDD[#Headers],0))/$C68,"ERROR"))</f>
        <v>0.18862859931673986</v>
      </c>
      <c r="F68" s="157">
        <f>IF($B68=" ","",IFERROR(INDEX(MMWR_RATING_STATE_ROLLUP_BDD[],MATCH($B68,MMWR_RATING_STATE_ROLLUP_BDD[MMWR_RATING_STATE_ROLLUP_BDD],0),MATCH(F$9,MMWR_RATING_STATE_ROLLUP_BDD[#Headers],0)),"ERROR"))</f>
        <v>1519</v>
      </c>
      <c r="G68" s="157">
        <f>IF($B68=" ","",IFERROR(INDEX(MMWR_RATING_STATE_ROLLUP_BDD[],MATCH($B68,MMWR_RATING_STATE_ROLLUP_BDD[MMWR_RATING_STATE_ROLLUP_BDD],0),MATCH(G$9,MMWR_RATING_STATE_ROLLUP_BDD[#Headers],0)),"ERROR"))</f>
        <v>18851</v>
      </c>
      <c r="H68" s="158">
        <f>IF($B68=" ","",IFERROR(INDEX(MMWR_RATING_STATE_ROLLUP_BDD[],MATCH($B68,MMWR_RATING_STATE_ROLLUP_BDD[MMWR_RATING_STATE_ROLLUP_BDD],0),MATCH(H$9,MMWR_RATING_STATE_ROLLUP_BDD[#Headers],0)),"ERROR"))</f>
        <v>144.8926925609</v>
      </c>
      <c r="I68" s="158">
        <f>IF($B68=" ","",IFERROR(INDEX(MMWR_RATING_STATE_ROLLUP_BDD[],MATCH($B68,MMWR_RATING_STATE_ROLLUP_BDD[MMWR_RATING_STATE_ROLLUP_BDD],0),MATCH(I$9,MMWR_RATING_STATE_ROLLUP_BDD[#Headers],0)),"ERROR"))</f>
        <v>154.40666277650001</v>
      </c>
      <c r="J68" s="42"/>
      <c r="K68" s="42"/>
      <c r="L68" s="42"/>
      <c r="M68" s="42"/>
      <c r="N68" s="28"/>
    </row>
    <row r="69" spans="1:14" x14ac:dyDescent="0.2">
      <c r="A69" s="25"/>
      <c r="B69" s="253" t="str">
        <f>INDEX(DISTRICT_STATES[],MATCH($B$5,DISTRICT_RO[District],0),1)</f>
        <v>North Atlantic</v>
      </c>
      <c r="C69" s="157">
        <f>IF($B69=" ","",IFERROR(INDEX(MMWR_RATING_STATE_ROLLUP_BDD[],MATCH($B69,MMWR_RATING_STATE_ROLLUP_BDD[MMWR_RATING_STATE_ROLLUP_BDD],0),MATCH(C$9,MMWR_RATING_STATE_ROLLUP_BDD[#Headers],0)),"ERROR"))</f>
        <v>2273</v>
      </c>
      <c r="D69" s="158">
        <f>IF($B69=" ","",IFERROR(INDEX(MMWR_RATING_STATE_ROLLUP_BDD[],MATCH($B69,MMWR_RATING_STATE_ROLLUP_BDD[MMWR_RATING_STATE_ROLLUP_BDD],0),MATCH(D$9,MMWR_RATING_STATE_ROLLUP_BDD[#Headers],0)),"ERROR"))</f>
        <v>77.651561812599994</v>
      </c>
      <c r="E69" s="159">
        <f>IF($B69=" ","",IFERROR(INDEX(MMWR_RATING_STATE_ROLLUP_BDD[],MATCH($B69,MMWR_RATING_STATE_ROLLUP_BDD[MMWR_RATING_STATE_ROLLUP_BDD],0),MATCH(E$9,MMWR_RATING_STATE_ROLLUP_BDD[#Headers],0))/$C69,"ERROR"))</f>
        <v>0.17201935767707874</v>
      </c>
      <c r="F69" s="157">
        <f>IF($B69=" ","",IFERROR(INDEX(MMWR_RATING_STATE_ROLLUP_BDD[],MATCH($B69,MMWR_RATING_STATE_ROLLUP_BDD[MMWR_RATING_STATE_ROLLUP_BDD],0),MATCH(F$9,MMWR_RATING_STATE_ROLLUP_BDD[#Headers],0)),"ERROR"))</f>
        <v>375</v>
      </c>
      <c r="G69" s="157">
        <f>IF($B69=" ","",IFERROR(INDEX(MMWR_RATING_STATE_ROLLUP_BDD[],MATCH($B69,MMWR_RATING_STATE_ROLLUP_BDD[MMWR_RATING_STATE_ROLLUP_BDD],0),MATCH(G$9,MMWR_RATING_STATE_ROLLUP_BDD[#Headers],0)),"ERROR"))</f>
        <v>4158</v>
      </c>
      <c r="H69" s="158">
        <f>IF($B69=" ","",IFERROR(INDEX(MMWR_RATING_STATE_ROLLUP_BDD[],MATCH($B69,MMWR_RATING_STATE_ROLLUP_BDD[MMWR_RATING_STATE_ROLLUP_BDD],0),MATCH(H$9,MMWR_RATING_STATE_ROLLUP_BDD[#Headers],0)),"ERROR"))</f>
        <v>140.7866666667</v>
      </c>
      <c r="I69" s="158">
        <f>IF($B69=" ","",IFERROR(INDEX(MMWR_RATING_STATE_ROLLUP_BDD[],MATCH($B69,MMWR_RATING_STATE_ROLLUP_BDD[MMWR_RATING_STATE_ROLLUP_BDD],0),MATCH(I$9,MMWR_RATING_STATE_ROLLUP_BDD[#Headers],0)),"ERROR"))</f>
        <v>138.88239538240001</v>
      </c>
      <c r="J69" s="42"/>
      <c r="K69" s="42"/>
      <c r="L69" s="42"/>
      <c r="M69" s="42"/>
      <c r="N69" s="28"/>
    </row>
    <row r="70" spans="1:14" x14ac:dyDescent="0.2">
      <c r="A70" s="25"/>
      <c r="B70" s="8" t="str">
        <f>VLOOKUP($B$15,DISTRICT_STATES[],2,0)</f>
        <v>Connecticut</v>
      </c>
      <c r="C70" s="157">
        <f>IF($B70=" ","",IFERROR(INDEX(MMWR_RATING_STATE_ROLLUP_BDD[],MATCH($B70,MMWR_RATING_STATE_ROLLUP_BDD[MMWR_RATING_STATE_ROLLUP_BDD],0),MATCH(C$9,MMWR_RATING_STATE_ROLLUP_BDD[#Headers],0)),"ERROR"))</f>
        <v>28</v>
      </c>
      <c r="D70" s="158">
        <f>IF($B70=" ","",IFERROR(INDEX(MMWR_RATING_STATE_ROLLUP_BDD[],MATCH($B70,MMWR_RATING_STATE_ROLLUP_BDD[MMWR_RATING_STATE_ROLLUP_BDD],0),MATCH(D$9,MMWR_RATING_STATE_ROLLUP_BDD[#Headers],0)),"ERROR"))</f>
        <v>54.535714285700003</v>
      </c>
      <c r="E70" s="159">
        <f>IF($B70=" ","",IFERROR(INDEX(MMWR_RATING_STATE_ROLLUP_BDD[],MATCH($B70,MMWR_RATING_STATE_ROLLUP_BDD[MMWR_RATING_STATE_ROLLUP_BDD],0),MATCH(E$9,MMWR_RATING_STATE_ROLLUP_BDD[#Headers],0))/$C70,"ERROR"))</f>
        <v>0</v>
      </c>
      <c r="F70" s="157">
        <f>IF($B70=" ","",IFERROR(INDEX(MMWR_RATING_STATE_ROLLUP_BDD[],MATCH($B70,MMWR_RATING_STATE_ROLLUP_BDD[MMWR_RATING_STATE_ROLLUP_BDD],0),MATCH(F$9,MMWR_RATING_STATE_ROLLUP_BDD[#Headers],0)),"ERROR"))</f>
        <v>4</v>
      </c>
      <c r="G70" s="157">
        <f>IF($B70=" ","",IFERROR(INDEX(MMWR_RATING_STATE_ROLLUP_BDD[],MATCH($B70,MMWR_RATING_STATE_ROLLUP_BDD[MMWR_RATING_STATE_ROLLUP_BDD],0),MATCH(G$9,MMWR_RATING_STATE_ROLLUP_BDD[#Headers],0)),"ERROR"))</f>
        <v>56</v>
      </c>
      <c r="H70" s="158">
        <f>IF($B70=" ","",IFERROR(INDEX(MMWR_RATING_STATE_ROLLUP_BDD[],MATCH($B70,MMWR_RATING_STATE_ROLLUP_BDD[MMWR_RATING_STATE_ROLLUP_BDD],0),MATCH(H$9,MMWR_RATING_STATE_ROLLUP_BDD[#Headers],0)),"ERROR"))</f>
        <v>153.5</v>
      </c>
      <c r="I70" s="158">
        <f>IF($B70=" ","",IFERROR(INDEX(MMWR_RATING_STATE_ROLLUP_BDD[],MATCH($B70,MMWR_RATING_STATE_ROLLUP_BDD[MMWR_RATING_STATE_ROLLUP_BDD],0),MATCH(I$9,MMWR_RATING_STATE_ROLLUP_BDD[#Headers],0)),"ERROR"))</f>
        <v>116.3928571429</v>
      </c>
      <c r="J70" s="42"/>
      <c r="K70" s="42"/>
      <c r="L70" s="42"/>
      <c r="M70" s="42"/>
      <c r="N70" s="28"/>
    </row>
    <row r="71" spans="1:14" x14ac:dyDescent="0.2">
      <c r="A71" s="25"/>
      <c r="B71" s="8" t="str">
        <f>VLOOKUP($B$15,DISTRICT_STATES[],3,0)</f>
        <v>Delaware</v>
      </c>
      <c r="C71" s="157">
        <f>IF($B71=" ","",IFERROR(INDEX(MMWR_RATING_STATE_ROLLUP_BDD[],MATCH($B71,MMWR_RATING_STATE_ROLLUP_BDD[MMWR_RATING_STATE_ROLLUP_BDD],0),MATCH(C$9,MMWR_RATING_STATE_ROLLUP_BDD[#Headers],0)),"ERROR"))</f>
        <v>17</v>
      </c>
      <c r="D71" s="158">
        <f>IF($B71=" ","",IFERROR(INDEX(MMWR_RATING_STATE_ROLLUP_BDD[],MATCH($B71,MMWR_RATING_STATE_ROLLUP_BDD[MMWR_RATING_STATE_ROLLUP_BDD],0),MATCH(D$9,MMWR_RATING_STATE_ROLLUP_BDD[#Headers],0)),"ERROR"))</f>
        <v>83.764705882399994</v>
      </c>
      <c r="E71" s="159">
        <f>IF($B71=" ","",IFERROR(INDEX(MMWR_RATING_STATE_ROLLUP_BDD[],MATCH($B71,MMWR_RATING_STATE_ROLLUP_BDD[MMWR_RATING_STATE_ROLLUP_BDD],0),MATCH(E$9,MMWR_RATING_STATE_ROLLUP_BDD[#Headers],0))/$C71,"ERROR"))</f>
        <v>0.17647058823529413</v>
      </c>
      <c r="F71" s="157">
        <f>IF($B71=" ","",IFERROR(INDEX(MMWR_RATING_STATE_ROLLUP_BDD[],MATCH($B71,MMWR_RATING_STATE_ROLLUP_BDD[MMWR_RATING_STATE_ROLLUP_BDD],0),MATCH(F$9,MMWR_RATING_STATE_ROLLUP_BDD[#Headers],0)),"ERROR"))</f>
        <v>3</v>
      </c>
      <c r="G71" s="157">
        <f>IF($B71=" ","",IFERROR(INDEX(MMWR_RATING_STATE_ROLLUP_BDD[],MATCH($B71,MMWR_RATING_STATE_ROLLUP_BDD[MMWR_RATING_STATE_ROLLUP_BDD],0),MATCH(G$9,MMWR_RATING_STATE_ROLLUP_BDD[#Headers],0)),"ERROR"))</f>
        <v>28</v>
      </c>
      <c r="H71" s="158">
        <f>IF($B71=" ","",IFERROR(INDEX(MMWR_RATING_STATE_ROLLUP_BDD[],MATCH($B71,MMWR_RATING_STATE_ROLLUP_BDD[MMWR_RATING_STATE_ROLLUP_BDD],0),MATCH(H$9,MMWR_RATING_STATE_ROLLUP_BDD[#Headers],0)),"ERROR"))</f>
        <v>150.6666666667</v>
      </c>
      <c r="I71" s="158">
        <f>IF($B71=" ","",IFERROR(INDEX(MMWR_RATING_STATE_ROLLUP_BDD[],MATCH($B71,MMWR_RATING_STATE_ROLLUP_BDD[MMWR_RATING_STATE_ROLLUP_BDD],0),MATCH(I$9,MMWR_RATING_STATE_ROLLUP_BDD[#Headers],0)),"ERROR"))</f>
        <v>114.3928571429</v>
      </c>
      <c r="J71" s="42"/>
      <c r="K71" s="42"/>
      <c r="L71" s="42"/>
      <c r="M71" s="42"/>
      <c r="N71" s="28"/>
    </row>
    <row r="72" spans="1:14" x14ac:dyDescent="0.2">
      <c r="A72" s="25"/>
      <c r="B72" s="8" t="str">
        <f>VLOOKUP($B$15,DISTRICT_STATES[],4,0)</f>
        <v>District of Columbia</v>
      </c>
      <c r="C72" s="157">
        <f>IF($B72=" ","",IFERROR(INDEX(MMWR_RATING_STATE_ROLLUP_BDD[],MATCH($B72,MMWR_RATING_STATE_ROLLUP_BDD[MMWR_RATING_STATE_ROLLUP_BDD],0),MATCH(C$9,MMWR_RATING_STATE_ROLLUP_BDD[#Headers],0)),"ERROR"))</f>
        <v>18</v>
      </c>
      <c r="D72" s="158">
        <f>IF($B72=" ","",IFERROR(INDEX(MMWR_RATING_STATE_ROLLUP_BDD[],MATCH($B72,MMWR_RATING_STATE_ROLLUP_BDD[MMWR_RATING_STATE_ROLLUP_BDD],0),MATCH(D$9,MMWR_RATING_STATE_ROLLUP_BDD[#Headers],0)),"ERROR"))</f>
        <v>60.611111111100001</v>
      </c>
      <c r="E72" s="159">
        <f>IF($B72=" ","",IFERROR(INDEX(MMWR_RATING_STATE_ROLLUP_BDD[],MATCH($B72,MMWR_RATING_STATE_ROLLUP_BDD[MMWR_RATING_STATE_ROLLUP_BDD],0),MATCH(E$9,MMWR_RATING_STATE_ROLLUP_BDD[#Headers],0))/$C72,"ERROR"))</f>
        <v>0.1111111111111111</v>
      </c>
      <c r="F72" s="157">
        <f>IF($B72=" ","",IFERROR(INDEX(MMWR_RATING_STATE_ROLLUP_BDD[],MATCH($B72,MMWR_RATING_STATE_ROLLUP_BDD[MMWR_RATING_STATE_ROLLUP_BDD],0),MATCH(F$9,MMWR_RATING_STATE_ROLLUP_BDD[#Headers],0)),"ERROR"))</f>
        <v>4</v>
      </c>
      <c r="G72" s="157">
        <f>IF($B72=" ","",IFERROR(INDEX(MMWR_RATING_STATE_ROLLUP_BDD[],MATCH($B72,MMWR_RATING_STATE_ROLLUP_BDD[MMWR_RATING_STATE_ROLLUP_BDD],0),MATCH(G$9,MMWR_RATING_STATE_ROLLUP_BDD[#Headers],0)),"ERROR"))</f>
        <v>22</v>
      </c>
      <c r="H72" s="158">
        <f>IF($B72=" ","",IFERROR(INDEX(MMWR_RATING_STATE_ROLLUP_BDD[],MATCH($B72,MMWR_RATING_STATE_ROLLUP_BDD[MMWR_RATING_STATE_ROLLUP_BDD],0),MATCH(H$9,MMWR_RATING_STATE_ROLLUP_BDD[#Headers],0)),"ERROR"))</f>
        <v>139.25</v>
      </c>
      <c r="I72" s="158">
        <f>IF($B72=" ","",IFERROR(INDEX(MMWR_RATING_STATE_ROLLUP_BDD[],MATCH($B72,MMWR_RATING_STATE_ROLLUP_BDD[MMWR_RATING_STATE_ROLLUP_BDD],0),MATCH(I$9,MMWR_RATING_STATE_ROLLUP_BDD[#Headers],0)),"ERROR"))</f>
        <v>127.6818181818</v>
      </c>
      <c r="J72" s="42"/>
      <c r="K72" s="42"/>
      <c r="L72" s="42"/>
      <c r="M72" s="42"/>
      <c r="N72" s="28"/>
    </row>
    <row r="73" spans="1:14" x14ac:dyDescent="0.2">
      <c r="A73" s="25"/>
      <c r="B73" s="8" t="str">
        <f>VLOOKUP($B$15,DISTRICT_STATES[],5,0)</f>
        <v>Maine</v>
      </c>
      <c r="C73" s="157">
        <f>IF($B73=" ","",IFERROR(INDEX(MMWR_RATING_STATE_ROLLUP_BDD[],MATCH($B73,MMWR_RATING_STATE_ROLLUP_BDD[MMWR_RATING_STATE_ROLLUP_BDD],0),MATCH(C$9,MMWR_RATING_STATE_ROLLUP_BDD[#Headers],0)),"ERROR"))</f>
        <v>6</v>
      </c>
      <c r="D73" s="158">
        <f>IF($B73=" ","",IFERROR(INDEX(MMWR_RATING_STATE_ROLLUP_BDD[],MATCH($B73,MMWR_RATING_STATE_ROLLUP_BDD[MMWR_RATING_STATE_ROLLUP_BDD],0),MATCH(D$9,MMWR_RATING_STATE_ROLLUP_BDD[#Headers],0)),"ERROR"))</f>
        <v>60.833333333299997</v>
      </c>
      <c r="E73" s="159">
        <f>IF($B73=" ","",IFERROR(INDEX(MMWR_RATING_STATE_ROLLUP_BDD[],MATCH($B73,MMWR_RATING_STATE_ROLLUP_BDD[MMWR_RATING_STATE_ROLLUP_BDD],0),MATCH(E$9,MMWR_RATING_STATE_ROLLUP_BDD[#Headers],0))/$C73,"ERROR"))</f>
        <v>0</v>
      </c>
      <c r="F73" s="157">
        <f>IF($B73=" ","",IFERROR(INDEX(MMWR_RATING_STATE_ROLLUP_BDD[],MATCH($B73,MMWR_RATING_STATE_ROLLUP_BDD[MMWR_RATING_STATE_ROLLUP_BDD],0),MATCH(F$9,MMWR_RATING_STATE_ROLLUP_BDD[#Headers],0)),"ERROR"))</f>
        <v>3</v>
      </c>
      <c r="G73" s="157">
        <f>IF($B73=" ","",IFERROR(INDEX(MMWR_RATING_STATE_ROLLUP_BDD[],MATCH($B73,MMWR_RATING_STATE_ROLLUP_BDD[MMWR_RATING_STATE_ROLLUP_BDD],0),MATCH(G$9,MMWR_RATING_STATE_ROLLUP_BDD[#Headers],0)),"ERROR"))</f>
        <v>29</v>
      </c>
      <c r="H73" s="158">
        <f>IF($B73=" ","",IFERROR(INDEX(MMWR_RATING_STATE_ROLLUP_BDD[],MATCH($B73,MMWR_RATING_STATE_ROLLUP_BDD[MMWR_RATING_STATE_ROLLUP_BDD],0),MATCH(H$9,MMWR_RATING_STATE_ROLLUP_BDD[#Headers],0)),"ERROR"))</f>
        <v>122.3333333333</v>
      </c>
      <c r="I73" s="158">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7">
        <f>IF($B74=" ","",IFERROR(INDEX(MMWR_RATING_STATE_ROLLUP_BDD[],MATCH($B74,MMWR_RATING_STATE_ROLLUP_BDD[MMWR_RATING_STATE_ROLLUP_BDD],0),MATCH(C$9,MMWR_RATING_STATE_ROLLUP_BDD[#Headers],0)),"ERROR"))</f>
        <v>250</v>
      </c>
      <c r="D74" s="158">
        <f>IF($B74=" ","",IFERROR(INDEX(MMWR_RATING_STATE_ROLLUP_BDD[],MATCH($B74,MMWR_RATING_STATE_ROLLUP_BDD[MMWR_RATING_STATE_ROLLUP_BDD],0),MATCH(D$9,MMWR_RATING_STATE_ROLLUP_BDD[#Headers],0)),"ERROR"))</f>
        <v>85.3</v>
      </c>
      <c r="E74" s="159">
        <f>IF($B74=" ","",IFERROR(INDEX(MMWR_RATING_STATE_ROLLUP_BDD[],MATCH($B74,MMWR_RATING_STATE_ROLLUP_BDD[MMWR_RATING_STATE_ROLLUP_BDD],0),MATCH(E$9,MMWR_RATING_STATE_ROLLUP_BDD[#Headers],0))/$C74,"ERROR"))</f>
        <v>0.184</v>
      </c>
      <c r="F74" s="157">
        <f>IF($B74=" ","",IFERROR(INDEX(MMWR_RATING_STATE_ROLLUP_BDD[],MATCH($B74,MMWR_RATING_STATE_ROLLUP_BDD[MMWR_RATING_STATE_ROLLUP_BDD],0),MATCH(F$9,MMWR_RATING_STATE_ROLLUP_BDD[#Headers],0)),"ERROR"))</f>
        <v>35</v>
      </c>
      <c r="G74" s="157">
        <f>IF($B74=" ","",IFERROR(INDEX(MMWR_RATING_STATE_ROLLUP_BDD[],MATCH($B74,MMWR_RATING_STATE_ROLLUP_BDD[MMWR_RATING_STATE_ROLLUP_BDD],0),MATCH(G$9,MMWR_RATING_STATE_ROLLUP_BDD[#Headers],0)),"ERROR"))</f>
        <v>476</v>
      </c>
      <c r="H74" s="158">
        <f>IF($B74=" ","",IFERROR(INDEX(MMWR_RATING_STATE_ROLLUP_BDD[],MATCH($B74,MMWR_RATING_STATE_ROLLUP_BDD[MMWR_RATING_STATE_ROLLUP_BDD],0),MATCH(H$9,MMWR_RATING_STATE_ROLLUP_BDD[#Headers],0)),"ERROR"))</f>
        <v>143.19999999999999</v>
      </c>
      <c r="I74" s="158">
        <f>IF($B74=" ","",IFERROR(INDEX(MMWR_RATING_STATE_ROLLUP_BDD[],MATCH($B74,MMWR_RATING_STATE_ROLLUP_BDD[MMWR_RATING_STATE_ROLLUP_BDD],0),MATCH(I$9,MMWR_RATING_STATE_ROLLUP_BDD[#Headers],0)),"ERROR"))</f>
        <v>149.46218487389999</v>
      </c>
      <c r="J74" s="42"/>
      <c r="K74" s="42"/>
      <c r="L74" s="42"/>
      <c r="M74" s="42"/>
      <c r="N74" s="28"/>
    </row>
    <row r="75" spans="1:14" x14ac:dyDescent="0.2">
      <c r="A75" s="25"/>
      <c r="B75" s="8" t="str">
        <f>VLOOKUP($B$15,DISTRICT_STATES[],7,0)</f>
        <v>Massachusetts</v>
      </c>
      <c r="C75" s="157">
        <f>IF($B75=" ","",IFERROR(INDEX(MMWR_RATING_STATE_ROLLUP_BDD[],MATCH($B75,MMWR_RATING_STATE_ROLLUP_BDD[MMWR_RATING_STATE_ROLLUP_BDD],0),MATCH(C$9,MMWR_RATING_STATE_ROLLUP_BDD[#Headers],0)),"ERROR"))</f>
        <v>29</v>
      </c>
      <c r="D75" s="158">
        <f>IF($B75=" ","",IFERROR(INDEX(MMWR_RATING_STATE_ROLLUP_BDD[],MATCH($B75,MMWR_RATING_STATE_ROLLUP_BDD[MMWR_RATING_STATE_ROLLUP_BDD],0),MATCH(D$9,MMWR_RATING_STATE_ROLLUP_BDD[#Headers],0)),"ERROR"))</f>
        <v>78.206896551699998</v>
      </c>
      <c r="E75" s="159">
        <f>IF($B75=" ","",IFERROR(INDEX(MMWR_RATING_STATE_ROLLUP_BDD[],MATCH($B75,MMWR_RATING_STATE_ROLLUP_BDD[MMWR_RATING_STATE_ROLLUP_BDD],0),MATCH(E$9,MMWR_RATING_STATE_ROLLUP_BDD[#Headers],0))/$C75,"ERROR"))</f>
        <v>0.13793103448275862</v>
      </c>
      <c r="F75" s="157">
        <f>IF($B75=" ","",IFERROR(INDEX(MMWR_RATING_STATE_ROLLUP_BDD[],MATCH($B75,MMWR_RATING_STATE_ROLLUP_BDD[MMWR_RATING_STATE_ROLLUP_BDD],0),MATCH(F$9,MMWR_RATING_STATE_ROLLUP_BDD[#Headers],0)),"ERROR"))</f>
        <v>10</v>
      </c>
      <c r="G75" s="157">
        <f>IF($B75=" ","",IFERROR(INDEX(MMWR_RATING_STATE_ROLLUP_BDD[],MATCH($B75,MMWR_RATING_STATE_ROLLUP_BDD[MMWR_RATING_STATE_ROLLUP_BDD],0),MATCH(G$9,MMWR_RATING_STATE_ROLLUP_BDD[#Headers],0)),"ERROR"))</f>
        <v>101</v>
      </c>
      <c r="H75" s="158">
        <f>IF($B75=" ","",IFERROR(INDEX(MMWR_RATING_STATE_ROLLUP_BDD[],MATCH($B75,MMWR_RATING_STATE_ROLLUP_BDD[MMWR_RATING_STATE_ROLLUP_BDD],0),MATCH(H$9,MMWR_RATING_STATE_ROLLUP_BDD[#Headers],0)),"ERROR"))</f>
        <v>95</v>
      </c>
      <c r="I75" s="158">
        <f>IF($B75=" ","",IFERROR(INDEX(MMWR_RATING_STATE_ROLLUP_BDD[],MATCH($B75,MMWR_RATING_STATE_ROLLUP_BDD[MMWR_RATING_STATE_ROLLUP_BDD],0),MATCH(I$9,MMWR_RATING_STATE_ROLLUP_BDD[#Headers],0)),"ERROR"))</f>
        <v>163.97029702969999</v>
      </c>
      <c r="J75" s="42"/>
      <c r="K75" s="42"/>
      <c r="L75" s="42"/>
      <c r="M75" s="42"/>
      <c r="N75" s="28"/>
    </row>
    <row r="76" spans="1:14" x14ac:dyDescent="0.2">
      <c r="A76" s="25"/>
      <c r="B76" s="8" t="str">
        <f>VLOOKUP($B$15,DISTRICT_STATES[],8,0)</f>
        <v>New Hampshire</v>
      </c>
      <c r="C76" s="157">
        <f>IF($B76=" ","",IFERROR(INDEX(MMWR_RATING_STATE_ROLLUP_BDD[],MATCH($B76,MMWR_RATING_STATE_ROLLUP_BDD[MMWR_RATING_STATE_ROLLUP_BDD],0),MATCH(C$9,MMWR_RATING_STATE_ROLLUP_BDD[#Headers],0)),"ERROR"))</f>
        <v>11</v>
      </c>
      <c r="D76" s="158">
        <f>IF($B76=" ","",IFERROR(INDEX(MMWR_RATING_STATE_ROLLUP_BDD[],MATCH($B76,MMWR_RATING_STATE_ROLLUP_BDD[MMWR_RATING_STATE_ROLLUP_BDD],0),MATCH(D$9,MMWR_RATING_STATE_ROLLUP_BDD[#Headers],0)),"ERROR"))</f>
        <v>66.818181818200003</v>
      </c>
      <c r="E76" s="159">
        <f>IF($B76=" ","",IFERROR(INDEX(MMWR_RATING_STATE_ROLLUP_BDD[],MATCH($B76,MMWR_RATING_STATE_ROLLUP_BDD[MMWR_RATING_STATE_ROLLUP_BDD],0),MATCH(E$9,MMWR_RATING_STATE_ROLLUP_BDD[#Headers],0))/$C76,"ERROR"))</f>
        <v>0.18181818181818182</v>
      </c>
      <c r="F76" s="157">
        <f>IF($B76=" ","",IFERROR(INDEX(MMWR_RATING_STATE_ROLLUP_BDD[],MATCH($B76,MMWR_RATING_STATE_ROLLUP_BDD[MMWR_RATING_STATE_ROLLUP_BDD],0),MATCH(F$9,MMWR_RATING_STATE_ROLLUP_BDD[#Headers],0)),"ERROR"))</f>
        <v>1</v>
      </c>
      <c r="G76" s="157">
        <f>IF($B76=" ","",IFERROR(INDEX(MMWR_RATING_STATE_ROLLUP_BDD[],MATCH($B76,MMWR_RATING_STATE_ROLLUP_BDD[MMWR_RATING_STATE_ROLLUP_BDD],0),MATCH(G$9,MMWR_RATING_STATE_ROLLUP_BDD[#Headers],0)),"ERROR"))</f>
        <v>23</v>
      </c>
      <c r="H76" s="158">
        <f>IF($B76=" ","",IFERROR(INDEX(MMWR_RATING_STATE_ROLLUP_BDD[],MATCH($B76,MMWR_RATING_STATE_ROLLUP_BDD[MMWR_RATING_STATE_ROLLUP_BDD],0),MATCH(H$9,MMWR_RATING_STATE_ROLLUP_BDD[#Headers],0)),"ERROR"))</f>
        <v>228</v>
      </c>
      <c r="I76" s="158">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7">
        <f>IF($B77=" ","",IFERROR(INDEX(MMWR_RATING_STATE_ROLLUP_BDD[],MATCH($B77,MMWR_RATING_STATE_ROLLUP_BDD[MMWR_RATING_STATE_ROLLUP_BDD],0),MATCH(C$9,MMWR_RATING_STATE_ROLLUP_BDD[#Headers],0)),"ERROR"))</f>
        <v>49</v>
      </c>
      <c r="D77" s="158">
        <f>IF($B77=" ","",IFERROR(INDEX(MMWR_RATING_STATE_ROLLUP_BDD[],MATCH($B77,MMWR_RATING_STATE_ROLLUP_BDD[MMWR_RATING_STATE_ROLLUP_BDD],0),MATCH(D$9,MMWR_RATING_STATE_ROLLUP_BDD[#Headers],0)),"ERROR"))</f>
        <v>71.081632653100002</v>
      </c>
      <c r="E77" s="159">
        <f>IF($B77=" ","",IFERROR(INDEX(MMWR_RATING_STATE_ROLLUP_BDD[],MATCH($B77,MMWR_RATING_STATE_ROLLUP_BDD[MMWR_RATING_STATE_ROLLUP_BDD],0),MATCH(E$9,MMWR_RATING_STATE_ROLLUP_BDD[#Headers],0))/$C77,"ERROR"))</f>
        <v>0.10204081632653061</v>
      </c>
      <c r="F77" s="157">
        <f>IF($B77=" ","",IFERROR(INDEX(MMWR_RATING_STATE_ROLLUP_BDD[],MATCH($B77,MMWR_RATING_STATE_ROLLUP_BDD[MMWR_RATING_STATE_ROLLUP_BDD],0),MATCH(F$9,MMWR_RATING_STATE_ROLLUP_BDD[#Headers],0)),"ERROR"))</f>
        <v>9</v>
      </c>
      <c r="G77" s="157">
        <f>IF($B77=" ","",IFERROR(INDEX(MMWR_RATING_STATE_ROLLUP_BDD[],MATCH($B77,MMWR_RATING_STATE_ROLLUP_BDD[MMWR_RATING_STATE_ROLLUP_BDD],0),MATCH(G$9,MMWR_RATING_STATE_ROLLUP_BDD[#Headers],0)),"ERROR"))</f>
        <v>141</v>
      </c>
      <c r="H77" s="158">
        <f>IF($B77=" ","",IFERROR(INDEX(MMWR_RATING_STATE_ROLLUP_BDD[],MATCH($B77,MMWR_RATING_STATE_ROLLUP_BDD[MMWR_RATING_STATE_ROLLUP_BDD],0),MATCH(H$9,MMWR_RATING_STATE_ROLLUP_BDD[#Headers],0)),"ERROR"))</f>
        <v>126</v>
      </c>
      <c r="I77" s="158">
        <f>IF($B77=" ","",IFERROR(INDEX(MMWR_RATING_STATE_ROLLUP_BDD[],MATCH($B77,MMWR_RATING_STATE_ROLLUP_BDD[MMWR_RATING_STATE_ROLLUP_BDD],0),MATCH(I$9,MMWR_RATING_STATE_ROLLUP_BDD[#Headers],0)),"ERROR"))</f>
        <v>146.26241134750001</v>
      </c>
      <c r="J77" s="42"/>
      <c r="K77" s="42"/>
      <c r="L77" s="42"/>
      <c r="M77" s="42"/>
      <c r="N77" s="28"/>
    </row>
    <row r="78" spans="1:14" x14ac:dyDescent="0.2">
      <c r="A78" s="25"/>
      <c r="B78" s="8" t="str">
        <f>VLOOKUP($B$15,DISTRICT_STATES[],10,0)</f>
        <v>New York</v>
      </c>
      <c r="C78" s="157">
        <f>IF($B78=" ","",IFERROR(INDEX(MMWR_RATING_STATE_ROLLUP_BDD[],MATCH($B78,MMWR_RATING_STATE_ROLLUP_BDD[MMWR_RATING_STATE_ROLLUP_BDD],0),MATCH(C$9,MMWR_RATING_STATE_ROLLUP_BDD[#Headers],0)),"ERROR"))</f>
        <v>123</v>
      </c>
      <c r="D78" s="158">
        <f>IF($B78=" ","",IFERROR(INDEX(MMWR_RATING_STATE_ROLLUP_BDD[],MATCH($B78,MMWR_RATING_STATE_ROLLUP_BDD[MMWR_RATING_STATE_ROLLUP_BDD],0),MATCH(D$9,MMWR_RATING_STATE_ROLLUP_BDD[#Headers],0)),"ERROR"))</f>
        <v>79.8943089431</v>
      </c>
      <c r="E78" s="159">
        <f>IF($B78=" ","",IFERROR(INDEX(MMWR_RATING_STATE_ROLLUP_BDD[],MATCH($B78,MMWR_RATING_STATE_ROLLUP_BDD[MMWR_RATING_STATE_ROLLUP_BDD],0),MATCH(E$9,MMWR_RATING_STATE_ROLLUP_BDD[#Headers],0))/$C78,"ERROR"))</f>
        <v>0.16260162601626016</v>
      </c>
      <c r="F78" s="157">
        <f>IF($B78=" ","",IFERROR(INDEX(MMWR_RATING_STATE_ROLLUP_BDD[],MATCH($B78,MMWR_RATING_STATE_ROLLUP_BDD[MMWR_RATING_STATE_ROLLUP_BDD],0),MATCH(F$9,MMWR_RATING_STATE_ROLLUP_BDD[#Headers],0)),"ERROR"))</f>
        <v>26</v>
      </c>
      <c r="G78" s="157">
        <f>IF($B78=" ","",IFERROR(INDEX(MMWR_RATING_STATE_ROLLUP_BDD[],MATCH($B78,MMWR_RATING_STATE_ROLLUP_BDD[MMWR_RATING_STATE_ROLLUP_BDD],0),MATCH(G$9,MMWR_RATING_STATE_ROLLUP_BDD[#Headers],0)),"ERROR"))</f>
        <v>340</v>
      </c>
      <c r="H78" s="158">
        <f>IF($B78=" ","",IFERROR(INDEX(MMWR_RATING_STATE_ROLLUP_BDD[],MATCH($B78,MMWR_RATING_STATE_ROLLUP_BDD[MMWR_RATING_STATE_ROLLUP_BDD],0),MATCH(H$9,MMWR_RATING_STATE_ROLLUP_BDD[#Headers],0)),"ERROR"))</f>
        <v>125.76923076920001</v>
      </c>
      <c r="I78" s="158">
        <f>IF($B78=" ","",IFERROR(INDEX(MMWR_RATING_STATE_ROLLUP_BDD[],MATCH($B78,MMWR_RATING_STATE_ROLLUP_BDD[MMWR_RATING_STATE_ROLLUP_BDD],0),MATCH(I$9,MMWR_RATING_STATE_ROLLUP_BDD[#Headers],0)),"ERROR"))</f>
        <v>150.0911764706</v>
      </c>
      <c r="J78" s="42"/>
      <c r="K78" s="42"/>
      <c r="L78" s="42"/>
      <c r="M78" s="42"/>
      <c r="N78" s="28"/>
    </row>
    <row r="79" spans="1:14" x14ac:dyDescent="0.2">
      <c r="A79" s="25"/>
      <c r="B79" s="8" t="str">
        <f>VLOOKUP($B$15,DISTRICT_STATES[],11,0)</f>
        <v>North Carolina</v>
      </c>
      <c r="C79" s="157">
        <f>IF($B79=" ","",IFERROR(INDEX(MMWR_RATING_STATE_ROLLUP_BDD[],MATCH($B79,MMWR_RATING_STATE_ROLLUP_BDD[MMWR_RATING_STATE_ROLLUP_BDD],0),MATCH(C$9,MMWR_RATING_STATE_ROLLUP_BDD[#Headers],0)),"ERROR"))</f>
        <v>918</v>
      </c>
      <c r="D79" s="158">
        <f>IF($B79=" ","",IFERROR(INDEX(MMWR_RATING_STATE_ROLLUP_BDD[],MATCH($B79,MMWR_RATING_STATE_ROLLUP_BDD[MMWR_RATING_STATE_ROLLUP_BDD],0),MATCH(D$9,MMWR_RATING_STATE_ROLLUP_BDD[#Headers],0)),"ERROR"))</f>
        <v>69.715686274500001</v>
      </c>
      <c r="E79" s="159">
        <f>IF($B79=" ","",IFERROR(INDEX(MMWR_RATING_STATE_ROLLUP_BDD[],MATCH($B79,MMWR_RATING_STATE_ROLLUP_BDD[MMWR_RATING_STATE_ROLLUP_BDD],0),MATCH(E$9,MMWR_RATING_STATE_ROLLUP_BDD[#Headers],0))/$C79,"ERROR"))</f>
        <v>0.13180827886710239</v>
      </c>
      <c r="F79" s="157">
        <f>IF($B79=" ","",IFERROR(INDEX(MMWR_RATING_STATE_ROLLUP_BDD[],MATCH($B79,MMWR_RATING_STATE_ROLLUP_BDD[MMWR_RATING_STATE_ROLLUP_BDD],0),MATCH(F$9,MMWR_RATING_STATE_ROLLUP_BDD[#Headers],0)),"ERROR"))</f>
        <v>130</v>
      </c>
      <c r="G79" s="157">
        <f>IF($B79=" ","",IFERROR(INDEX(MMWR_RATING_STATE_ROLLUP_BDD[],MATCH($B79,MMWR_RATING_STATE_ROLLUP_BDD[MMWR_RATING_STATE_ROLLUP_BDD],0),MATCH(G$9,MMWR_RATING_STATE_ROLLUP_BDD[#Headers],0)),"ERROR"))</f>
        <v>1284</v>
      </c>
      <c r="H79" s="158">
        <f>IF($B79=" ","",IFERROR(INDEX(MMWR_RATING_STATE_ROLLUP_BDD[],MATCH($B79,MMWR_RATING_STATE_ROLLUP_BDD[MMWR_RATING_STATE_ROLLUP_BDD],0),MATCH(H$9,MMWR_RATING_STATE_ROLLUP_BDD[#Headers],0)),"ERROR"))</f>
        <v>135.31538461540001</v>
      </c>
      <c r="I79" s="158">
        <f>IF($B79=" ","",IFERROR(INDEX(MMWR_RATING_STATE_ROLLUP_BDD[],MATCH($B79,MMWR_RATING_STATE_ROLLUP_BDD[MMWR_RATING_STATE_ROLLUP_BDD],0),MATCH(I$9,MMWR_RATING_STATE_ROLLUP_BDD[#Headers],0)),"ERROR"))</f>
        <v>127.00856697819999</v>
      </c>
      <c r="J79" s="42"/>
      <c r="K79" s="42"/>
      <c r="L79" s="42"/>
      <c r="M79" s="42"/>
      <c r="N79" s="28"/>
    </row>
    <row r="80" spans="1:14" x14ac:dyDescent="0.2">
      <c r="A80" s="25"/>
      <c r="B80" s="8" t="str">
        <f>VLOOKUP($B$15,DISTRICT_STATES[],12,0)</f>
        <v>Pennsylvania</v>
      </c>
      <c r="C80" s="157">
        <f>IF($B80=" ","",IFERROR(INDEX(MMWR_RATING_STATE_ROLLUP_BDD[],MATCH($B80,MMWR_RATING_STATE_ROLLUP_BDD[MMWR_RATING_STATE_ROLLUP_BDD],0),MATCH(C$9,MMWR_RATING_STATE_ROLLUP_BDD[#Headers],0)),"ERROR"))</f>
        <v>96</v>
      </c>
      <c r="D80" s="158">
        <f>IF($B80=" ","",IFERROR(INDEX(MMWR_RATING_STATE_ROLLUP_BDD[],MATCH($B80,MMWR_RATING_STATE_ROLLUP_BDD[MMWR_RATING_STATE_ROLLUP_BDD],0),MATCH(D$9,MMWR_RATING_STATE_ROLLUP_BDD[#Headers],0)),"ERROR"))</f>
        <v>78.645833333300004</v>
      </c>
      <c r="E80" s="159">
        <f>IF($B80=" ","",IFERROR(INDEX(MMWR_RATING_STATE_ROLLUP_BDD[],MATCH($B80,MMWR_RATING_STATE_ROLLUP_BDD[MMWR_RATING_STATE_ROLLUP_BDD],0),MATCH(E$9,MMWR_RATING_STATE_ROLLUP_BDD[#Headers],0))/$C80,"ERROR"))</f>
        <v>0.19791666666666666</v>
      </c>
      <c r="F80" s="157">
        <f>IF($B80=" ","",IFERROR(INDEX(MMWR_RATING_STATE_ROLLUP_BDD[],MATCH($B80,MMWR_RATING_STATE_ROLLUP_BDD[MMWR_RATING_STATE_ROLLUP_BDD],0),MATCH(F$9,MMWR_RATING_STATE_ROLLUP_BDD[#Headers],0)),"ERROR"))</f>
        <v>22</v>
      </c>
      <c r="G80" s="157">
        <f>IF($B80=" ","",IFERROR(INDEX(MMWR_RATING_STATE_ROLLUP_BDD[],MATCH($B80,MMWR_RATING_STATE_ROLLUP_BDD[MMWR_RATING_STATE_ROLLUP_BDD],0),MATCH(G$9,MMWR_RATING_STATE_ROLLUP_BDD[#Headers],0)),"ERROR"))</f>
        <v>255</v>
      </c>
      <c r="H80" s="158">
        <f>IF($B80=" ","",IFERROR(INDEX(MMWR_RATING_STATE_ROLLUP_BDD[],MATCH($B80,MMWR_RATING_STATE_ROLLUP_BDD[MMWR_RATING_STATE_ROLLUP_BDD],0),MATCH(H$9,MMWR_RATING_STATE_ROLLUP_BDD[#Headers],0)),"ERROR"))</f>
        <v>164.2272727273</v>
      </c>
      <c r="I80" s="158">
        <f>IF($B80=" ","",IFERROR(INDEX(MMWR_RATING_STATE_ROLLUP_BDD[],MATCH($B80,MMWR_RATING_STATE_ROLLUP_BDD[MMWR_RATING_STATE_ROLLUP_BDD],0),MATCH(I$9,MMWR_RATING_STATE_ROLLUP_BDD[#Headers],0)),"ERROR"))</f>
        <v>152.73333333330001</v>
      </c>
      <c r="J80" s="42"/>
      <c r="K80" s="42"/>
      <c r="L80" s="42"/>
      <c r="M80" s="42"/>
      <c r="N80" s="28"/>
    </row>
    <row r="81" spans="1:14" x14ac:dyDescent="0.2">
      <c r="A81" s="25"/>
      <c r="B81" s="8" t="str">
        <f>VLOOKUP($B$15,DISTRICT_STATES[],13,0)</f>
        <v>Rhode Island</v>
      </c>
      <c r="C81" s="157">
        <f>IF($B81=" ","",IFERROR(INDEX(MMWR_RATING_STATE_ROLLUP_BDD[],MATCH($B81,MMWR_RATING_STATE_ROLLUP_BDD[MMWR_RATING_STATE_ROLLUP_BDD],0),MATCH(C$9,MMWR_RATING_STATE_ROLLUP_BDD[#Headers],0)),"ERROR"))</f>
        <v>1</v>
      </c>
      <c r="D81" s="158">
        <f>IF($B81=" ","",IFERROR(INDEX(MMWR_RATING_STATE_ROLLUP_BDD[],MATCH($B81,MMWR_RATING_STATE_ROLLUP_BDD[MMWR_RATING_STATE_ROLLUP_BDD],0),MATCH(D$9,MMWR_RATING_STATE_ROLLUP_BDD[#Headers],0)),"ERROR"))</f>
        <v>20</v>
      </c>
      <c r="E81" s="159">
        <f>IF($B81=" ","",IFERROR(INDEX(MMWR_RATING_STATE_ROLLUP_BDD[],MATCH($B81,MMWR_RATING_STATE_ROLLUP_BDD[MMWR_RATING_STATE_ROLLUP_BDD],0),MATCH(E$9,MMWR_RATING_STATE_ROLLUP_BDD[#Headers],0))/$C81,"ERROR"))</f>
        <v>0</v>
      </c>
      <c r="F81" s="157">
        <f>IF($B81=" ","",IFERROR(INDEX(MMWR_RATING_STATE_ROLLUP_BDD[],MATCH($B81,MMWR_RATING_STATE_ROLLUP_BDD[MMWR_RATING_STATE_ROLLUP_BDD],0),MATCH(F$9,MMWR_RATING_STATE_ROLLUP_BDD[#Headers],0)),"ERROR"))</f>
        <v>0</v>
      </c>
      <c r="G81" s="157">
        <f>IF($B81=" ","",IFERROR(INDEX(MMWR_RATING_STATE_ROLLUP_BDD[],MATCH($B81,MMWR_RATING_STATE_ROLLUP_BDD[MMWR_RATING_STATE_ROLLUP_BDD],0),MATCH(G$9,MMWR_RATING_STATE_ROLLUP_BDD[#Headers],0)),"ERROR"))</f>
        <v>13</v>
      </c>
      <c r="H81" s="158">
        <f>IF($B81=" ","",IFERROR(INDEX(MMWR_RATING_STATE_ROLLUP_BDD[],MATCH($B81,MMWR_RATING_STATE_ROLLUP_BDD[MMWR_RATING_STATE_ROLLUP_BDD],0),MATCH(H$9,MMWR_RATING_STATE_ROLLUP_BDD[#Headers],0)),"ERROR"))</f>
        <v>0</v>
      </c>
      <c r="I81" s="158">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7">
        <f>IF($B82=" ","",IFERROR(INDEX(MMWR_RATING_STATE_ROLLUP_BDD[],MATCH($B82,MMWR_RATING_STATE_ROLLUP_BDD[MMWR_RATING_STATE_ROLLUP_BDD],0),MATCH(C$9,MMWR_RATING_STATE_ROLLUP_BDD[#Headers],0)),"ERROR"))</f>
        <v>4</v>
      </c>
      <c r="D82" s="158">
        <f>IF($B82=" ","",IFERROR(INDEX(MMWR_RATING_STATE_ROLLUP_BDD[],MATCH($B82,MMWR_RATING_STATE_ROLLUP_BDD[MMWR_RATING_STATE_ROLLUP_BDD],0),MATCH(D$9,MMWR_RATING_STATE_ROLLUP_BDD[#Headers],0)),"ERROR"))</f>
        <v>88.5</v>
      </c>
      <c r="E82" s="159">
        <f>IF($B82=" ","",IFERROR(INDEX(MMWR_RATING_STATE_ROLLUP_BDD[],MATCH($B82,MMWR_RATING_STATE_ROLLUP_BDD[MMWR_RATING_STATE_ROLLUP_BDD],0),MATCH(E$9,MMWR_RATING_STATE_ROLLUP_BDD[#Headers],0))/$C82,"ERROR"))</f>
        <v>0.25</v>
      </c>
      <c r="F82" s="157">
        <f>IF($B82=" ","",IFERROR(INDEX(MMWR_RATING_STATE_ROLLUP_BDD[],MATCH($B82,MMWR_RATING_STATE_ROLLUP_BDD[MMWR_RATING_STATE_ROLLUP_BDD],0),MATCH(F$9,MMWR_RATING_STATE_ROLLUP_BDD[#Headers],0)),"ERROR"))</f>
        <v>1</v>
      </c>
      <c r="G82" s="157">
        <f>IF($B82=" ","",IFERROR(INDEX(MMWR_RATING_STATE_ROLLUP_BDD[],MATCH($B82,MMWR_RATING_STATE_ROLLUP_BDD[MMWR_RATING_STATE_ROLLUP_BDD],0),MATCH(G$9,MMWR_RATING_STATE_ROLLUP_BDD[#Headers],0)),"ERROR"))</f>
        <v>13</v>
      </c>
      <c r="H82" s="158">
        <f>IF($B82=" ","",IFERROR(INDEX(MMWR_RATING_STATE_ROLLUP_BDD[],MATCH($B82,MMWR_RATING_STATE_ROLLUP_BDD[MMWR_RATING_STATE_ROLLUP_BDD],0),MATCH(H$9,MMWR_RATING_STATE_ROLLUP_BDD[#Headers],0)),"ERROR"))</f>
        <v>164</v>
      </c>
      <c r="I82" s="158">
        <f>IF($B82=" ","",IFERROR(INDEX(MMWR_RATING_STATE_ROLLUP_BDD[],MATCH($B82,MMWR_RATING_STATE_ROLLUP_BDD[MMWR_RATING_STATE_ROLLUP_BDD],0),MATCH(I$9,MMWR_RATING_STATE_ROLLUP_BDD[#Headers],0)),"ERROR"))</f>
        <v>161.4615384615</v>
      </c>
      <c r="J82" s="42"/>
      <c r="K82" s="42"/>
      <c r="L82" s="42"/>
      <c r="M82" s="42"/>
      <c r="N82" s="28"/>
    </row>
    <row r="83" spans="1:14" x14ac:dyDescent="0.2">
      <c r="A83" s="25"/>
      <c r="B83" s="8" t="str">
        <f>VLOOKUP($B$15,DISTRICT_STATES[],15,0)</f>
        <v>Virginia</v>
      </c>
      <c r="C83" s="157">
        <f>IF($B83=" ","",IFERROR(INDEX(MMWR_RATING_STATE_ROLLUP_BDD[],MATCH($B83,MMWR_RATING_STATE_ROLLUP_BDD[MMWR_RATING_STATE_ROLLUP_BDD],0),MATCH(C$9,MMWR_RATING_STATE_ROLLUP_BDD[#Headers],0)),"ERROR"))</f>
        <v>709</v>
      </c>
      <c r="D83" s="158">
        <f>IF($B83=" ","",IFERROR(INDEX(MMWR_RATING_STATE_ROLLUP_BDD[],MATCH($B83,MMWR_RATING_STATE_ROLLUP_BDD[MMWR_RATING_STATE_ROLLUP_BDD],0),MATCH(D$9,MMWR_RATING_STATE_ROLLUP_BDD[#Headers],0)),"ERROR"))</f>
        <v>86.750352609299995</v>
      </c>
      <c r="E83" s="159">
        <f>IF($B83=" ","",IFERROR(INDEX(MMWR_RATING_STATE_ROLLUP_BDD[],MATCH($B83,MMWR_RATING_STATE_ROLLUP_BDD[MMWR_RATING_STATE_ROLLUP_BDD],0),MATCH(E$9,MMWR_RATING_STATE_ROLLUP_BDD[#Headers],0))/$C83,"ERROR"))</f>
        <v>0.23131170662905501</v>
      </c>
      <c r="F83" s="157">
        <f>IF($B83=" ","",IFERROR(INDEX(MMWR_RATING_STATE_ROLLUP_BDD[],MATCH($B83,MMWR_RATING_STATE_ROLLUP_BDD[MMWR_RATING_STATE_ROLLUP_BDD],0),MATCH(F$9,MMWR_RATING_STATE_ROLLUP_BDD[#Headers],0)),"ERROR"))</f>
        <v>118</v>
      </c>
      <c r="G83" s="157">
        <f>IF($B83=" ","",IFERROR(INDEX(MMWR_RATING_STATE_ROLLUP_BDD[],MATCH($B83,MMWR_RATING_STATE_ROLLUP_BDD[MMWR_RATING_STATE_ROLLUP_BDD],0),MATCH(G$9,MMWR_RATING_STATE_ROLLUP_BDD[#Headers],0)),"ERROR"))</f>
        <v>1326</v>
      </c>
      <c r="H83" s="158">
        <f>IF($B83=" ","",IFERROR(INDEX(MMWR_RATING_STATE_ROLLUP_BDD[],MATCH($B83,MMWR_RATING_STATE_ROLLUP_BDD[MMWR_RATING_STATE_ROLLUP_BDD],0),MATCH(H$9,MMWR_RATING_STATE_ROLLUP_BDD[#Headers],0)),"ERROR"))</f>
        <v>147.4406779661</v>
      </c>
      <c r="I83" s="158">
        <f>IF($B83=" ","",IFERROR(INDEX(MMWR_RATING_STATE_ROLLUP_BDD[],MATCH($B83,MMWR_RATING_STATE_ROLLUP_BDD[MMWR_RATING_STATE_ROLLUP_BDD],0),MATCH(I$9,MMWR_RATING_STATE_ROLLUP_BDD[#Headers],0)),"ERROR"))</f>
        <v>138.87782805430001</v>
      </c>
      <c r="J83" s="42"/>
      <c r="K83" s="42"/>
      <c r="L83" s="42"/>
      <c r="M83" s="42"/>
      <c r="N83" s="28"/>
    </row>
    <row r="84" spans="1:14" x14ac:dyDescent="0.2">
      <c r="A84" s="25"/>
      <c r="B84" s="254" t="str">
        <f>VLOOKUP($B$15,DISTRICT_STATES[],16,0)</f>
        <v>West Virginia</v>
      </c>
      <c r="C84" s="157">
        <f>IF($B84=" ","",IFERROR(INDEX(MMWR_RATING_STATE_ROLLUP_BDD[],MATCH($B84,MMWR_RATING_STATE_ROLLUP_BDD[MMWR_RATING_STATE_ROLLUP_BDD],0),MATCH(C$9,MMWR_RATING_STATE_ROLLUP_BDD[#Headers],0)),"ERROR"))</f>
        <v>14</v>
      </c>
      <c r="D84" s="158">
        <f>IF($B84=" ","",IFERROR(INDEX(MMWR_RATING_STATE_ROLLUP_BDD[],MATCH($B84,MMWR_RATING_STATE_ROLLUP_BDD[MMWR_RATING_STATE_ROLLUP_BDD],0),MATCH(D$9,MMWR_RATING_STATE_ROLLUP_BDD[#Headers],0)),"ERROR"))</f>
        <v>73.428571428599994</v>
      </c>
      <c r="E84" s="159">
        <f>IF($B84=" ","",IFERROR(INDEX(MMWR_RATING_STATE_ROLLUP_BDD[],MATCH($B84,MMWR_RATING_STATE_ROLLUP_BDD[MMWR_RATING_STATE_ROLLUP_BDD],0),MATCH(E$9,MMWR_RATING_STATE_ROLLUP_BDD[#Headers],0))/$C84,"ERROR"))</f>
        <v>0.2857142857142857</v>
      </c>
      <c r="F84" s="157">
        <f>IF($B84=" ","",IFERROR(INDEX(MMWR_RATING_STATE_ROLLUP_BDD[],MATCH($B84,MMWR_RATING_STATE_ROLLUP_BDD[MMWR_RATING_STATE_ROLLUP_BDD],0),MATCH(F$9,MMWR_RATING_STATE_ROLLUP_BDD[#Headers],0)),"ERROR"))</f>
        <v>9</v>
      </c>
      <c r="G84" s="157">
        <f>IF($B84=" ","",IFERROR(INDEX(MMWR_RATING_STATE_ROLLUP_BDD[],MATCH($B84,MMWR_RATING_STATE_ROLLUP_BDD[MMWR_RATING_STATE_ROLLUP_BDD],0),MATCH(G$9,MMWR_RATING_STATE_ROLLUP_BDD[#Headers],0)),"ERROR"))</f>
        <v>51</v>
      </c>
      <c r="H84" s="158">
        <f>IF($B84=" ","",IFERROR(INDEX(MMWR_RATING_STATE_ROLLUP_BDD[],MATCH($B84,MMWR_RATING_STATE_ROLLUP_BDD[MMWR_RATING_STATE_ROLLUP_BDD],0),MATCH(H$9,MMWR_RATING_STATE_ROLLUP_BDD[#Headers],0)),"ERROR"))</f>
        <v>160.55555555559999</v>
      </c>
      <c r="I84" s="158">
        <f>IF($B84=" ","",IFERROR(INDEX(MMWR_RATING_STATE_ROLLUP_BDD[],MATCH($B84,MMWR_RATING_STATE_ROLLUP_BDD[MMWR_RATING_STATE_ROLLUP_BDD],0),MATCH(I$9,MMWR_RATING_STATE_ROLLUP_BDD[#Headers],0)),"ERROR"))</f>
        <v>160.5882352941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A3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5"/>
      <c r="D1" s="55"/>
      <c r="E1" s="55"/>
      <c r="F1" s="55"/>
      <c r="G1" s="55"/>
      <c r="H1" s="55"/>
      <c r="I1" s="55"/>
      <c r="J1" s="55"/>
      <c r="K1" s="55"/>
      <c r="L1" s="55"/>
      <c r="M1" s="55"/>
      <c r="N1" s="55"/>
      <c r="O1" s="55"/>
      <c r="P1" s="55"/>
      <c r="Q1" s="55"/>
      <c r="R1" s="55"/>
      <c r="S1" s="55"/>
      <c r="T1" s="55"/>
      <c r="U1" s="55"/>
      <c r="V1" s="25"/>
    </row>
    <row r="2" spans="1:22" s="1" customFormat="1" ht="27" thickBot="1" x14ac:dyDescent="0.45">
      <c r="A2" s="25"/>
      <c r="B2" s="409" t="s">
        <v>305</v>
      </c>
      <c r="C2" s="410"/>
      <c r="D2" s="410"/>
      <c r="E2" s="410"/>
      <c r="F2" s="410"/>
      <c r="G2" s="410"/>
      <c r="H2" s="410"/>
      <c r="I2" s="410"/>
      <c r="J2" s="410"/>
      <c r="K2" s="410"/>
      <c r="L2" s="410"/>
      <c r="M2" s="410"/>
      <c r="N2" s="410"/>
      <c r="O2" s="410"/>
      <c r="P2" s="410"/>
      <c r="Q2" s="410"/>
      <c r="R2" s="410"/>
      <c r="S2" s="410"/>
      <c r="T2" s="410"/>
      <c r="U2" s="411"/>
      <c r="V2" s="25"/>
    </row>
    <row r="3" spans="1:22" s="1" customFormat="1" ht="63" customHeight="1" thickBot="1" x14ac:dyDescent="0.25">
      <c r="A3" s="25"/>
      <c r="B3" s="418" t="s">
        <v>320</v>
      </c>
      <c r="C3" s="419"/>
      <c r="D3" s="419"/>
      <c r="E3" s="419"/>
      <c r="F3" s="419"/>
      <c r="G3" s="419"/>
      <c r="H3" s="419"/>
      <c r="I3" s="419"/>
      <c r="J3" s="419"/>
      <c r="K3" s="419"/>
      <c r="L3" s="419"/>
      <c r="M3" s="419"/>
      <c r="N3" s="419"/>
      <c r="O3" s="419"/>
      <c r="P3" s="419"/>
      <c r="Q3" s="419"/>
      <c r="R3" s="419"/>
      <c r="S3" s="419"/>
      <c r="T3" s="419"/>
      <c r="U3" s="420"/>
      <c r="V3" s="25"/>
    </row>
    <row r="4" spans="1:22" s="1" customFormat="1" ht="32.25" customHeight="1" thickBot="1" x14ac:dyDescent="0.25">
      <c r="A4" s="25"/>
      <c r="B4" s="415" t="str">
        <f>Transformation!B4</f>
        <v>As of: June 20, 2015</v>
      </c>
      <c r="C4" s="416"/>
      <c r="D4" s="416"/>
      <c r="E4" s="416"/>
      <c r="F4" s="416"/>
      <c r="G4" s="416"/>
      <c r="H4" s="416"/>
      <c r="I4" s="416"/>
      <c r="J4" s="416"/>
      <c r="K4" s="416"/>
      <c r="L4" s="416"/>
      <c r="M4" s="416"/>
      <c r="N4" s="416"/>
      <c r="O4" s="416"/>
      <c r="P4" s="416"/>
      <c r="Q4" s="416"/>
      <c r="R4" s="416"/>
      <c r="S4" s="416"/>
      <c r="T4" s="416"/>
      <c r="U4" s="417"/>
      <c r="V4" s="25"/>
    </row>
    <row r="5" spans="1:22" s="1" customFormat="1" ht="27" customHeight="1" thickBot="1" x14ac:dyDescent="0.45">
      <c r="A5" s="25"/>
      <c r="B5" s="421" t="s">
        <v>247</v>
      </c>
      <c r="C5" s="422"/>
      <c r="D5" s="422"/>
      <c r="E5" s="422"/>
      <c r="F5" s="422"/>
      <c r="G5" s="422"/>
      <c r="H5" s="423"/>
      <c r="I5" s="56"/>
      <c r="J5" s="421" t="s">
        <v>244</v>
      </c>
      <c r="K5" s="422"/>
      <c r="L5" s="422"/>
      <c r="M5" s="422"/>
      <c r="N5" s="423"/>
      <c r="O5" s="57"/>
      <c r="P5" s="424" t="s">
        <v>11</v>
      </c>
      <c r="Q5" s="425"/>
      <c r="R5" s="425"/>
      <c r="S5" s="425"/>
      <c r="T5" s="425"/>
      <c r="U5" s="426"/>
      <c r="V5" s="25"/>
    </row>
    <row r="6" spans="1:22" s="1" customFormat="1" ht="65.25" customHeight="1" thickBot="1" x14ac:dyDescent="0.25">
      <c r="A6" s="25"/>
      <c r="B6" s="412" t="s">
        <v>288</v>
      </c>
      <c r="C6" s="413"/>
      <c r="D6" s="413"/>
      <c r="E6" s="414"/>
      <c r="F6" s="58" t="s">
        <v>12</v>
      </c>
      <c r="G6" s="59" t="s">
        <v>3</v>
      </c>
      <c r="H6" s="60" t="s">
        <v>4</v>
      </c>
      <c r="I6" s="25"/>
      <c r="J6" s="398" t="s">
        <v>288</v>
      </c>
      <c r="K6" s="399"/>
      <c r="L6" s="61" t="s">
        <v>12</v>
      </c>
      <c r="M6" s="62" t="s">
        <v>3</v>
      </c>
      <c r="N6" s="63" t="s">
        <v>4</v>
      </c>
      <c r="O6" s="64"/>
      <c r="P6" s="427" t="s">
        <v>288</v>
      </c>
      <c r="Q6" s="428"/>
      <c r="R6" s="65" t="s">
        <v>498</v>
      </c>
      <c r="S6" s="429" t="s">
        <v>288</v>
      </c>
      <c r="T6" s="430"/>
      <c r="U6" s="66" t="s">
        <v>140</v>
      </c>
      <c r="V6" s="25"/>
    </row>
    <row r="7" spans="1:22" s="1" customFormat="1" ht="32.25" customHeight="1" thickBot="1" x14ac:dyDescent="0.25">
      <c r="A7" s="25"/>
      <c r="B7" s="389" t="s">
        <v>307</v>
      </c>
      <c r="C7" s="390"/>
      <c r="D7" s="390"/>
      <c r="E7" s="390"/>
      <c r="F7" s="171">
        <f>SUM(F8:F10)</f>
        <v>139090</v>
      </c>
      <c r="G7" s="172">
        <f>SUM(G8:G10)</f>
        <v>54930</v>
      </c>
      <c r="H7" s="173">
        <f t="shared" ref="H7:H44" si="0">IF(G7="--", 0, G7/F7)</f>
        <v>0.39492414983104462</v>
      </c>
      <c r="I7" s="25"/>
      <c r="J7" s="389" t="s">
        <v>273</v>
      </c>
      <c r="K7" s="390"/>
      <c r="L7" s="172">
        <f>SUM(L8:L10)</f>
        <v>23361</v>
      </c>
      <c r="M7" s="172">
        <f>SUM(M8:M10)</f>
        <v>2683</v>
      </c>
      <c r="N7" s="183">
        <f>IF(M7="--", 0, M7/L7)</f>
        <v>0.11484953555070417</v>
      </c>
      <c r="O7" s="67"/>
      <c r="P7" s="389" t="s">
        <v>989</v>
      </c>
      <c r="Q7" s="390"/>
      <c r="R7" s="184">
        <f>R8+R9+R10+R11+R12</f>
        <v>306689</v>
      </c>
      <c r="S7" s="389"/>
      <c r="T7" s="390"/>
      <c r="U7" s="68"/>
      <c r="V7" s="25"/>
    </row>
    <row r="8" spans="1:22" s="1" customFormat="1" ht="51" customHeight="1" x14ac:dyDescent="0.2">
      <c r="A8" s="25"/>
      <c r="B8" s="281" t="s">
        <v>257</v>
      </c>
      <c r="C8" s="282"/>
      <c r="D8" s="282"/>
      <c r="E8" s="391"/>
      <c r="F8" s="174">
        <f>IFERROR(VLOOKUP(MID(B8,4,3),MMWR_TRAD_AGG_NATIONAL[],2,0),"--")</f>
        <v>343</v>
      </c>
      <c r="G8" s="175">
        <f>IFERROR(VLOOKUP(MID(B8,4,3),MMWR_TRAD_AGG_NATIONAL[],3,0),"--")</f>
        <v>218</v>
      </c>
      <c r="H8" s="176">
        <f t="shared" si="0"/>
        <v>0.63556851311953355</v>
      </c>
      <c r="I8" s="25"/>
      <c r="J8" s="394" t="s">
        <v>275</v>
      </c>
      <c r="K8" s="395"/>
      <c r="L8" s="174">
        <f>IFERROR(VLOOKUP(MID(J8,4,3),MMWR_TRAD_AGG_NATIONAL[],2,0),"--")</f>
        <v>4988</v>
      </c>
      <c r="M8" s="175">
        <f>IFERROR(VLOOKUP(MID(J8,4,3),MMWR_TRAD_AGG_NATIONAL[],3,0),"--")</f>
        <v>284</v>
      </c>
      <c r="N8" s="176">
        <f>IF(M8="--", 0, M8/L8)</f>
        <v>5.6936647955092221E-2</v>
      </c>
      <c r="O8" s="69" t="s">
        <v>319</v>
      </c>
      <c r="P8" s="436" t="s">
        <v>248</v>
      </c>
      <c r="Q8" s="437"/>
      <c r="R8" s="185">
        <f>VLOOKUP(P8,MMWR_APP_NATIONAL[],2,0)</f>
        <v>212293</v>
      </c>
      <c r="S8" s="397" t="s">
        <v>237</v>
      </c>
      <c r="T8" s="396"/>
      <c r="U8" s="186">
        <f>VLOOKUP(P8,MMWR_APP_NATIONAL[],3,0)</f>
        <v>396.39138360660002</v>
      </c>
      <c r="V8" s="25"/>
    </row>
    <row r="9" spans="1:22" s="1" customFormat="1" ht="45" customHeight="1" x14ac:dyDescent="0.2">
      <c r="A9" s="25"/>
      <c r="B9" s="281" t="s">
        <v>255</v>
      </c>
      <c r="C9" s="282"/>
      <c r="D9" s="282"/>
      <c r="E9" s="391"/>
      <c r="F9" s="174">
        <f>IFERROR(VLOOKUP(MID(B9,4,3),MMWR_TRAD_AGG_NATIONAL[],2,0),"--")</f>
        <v>41936</v>
      </c>
      <c r="G9" s="175">
        <f>IFERROR(VLOOKUP(MID(B9,4,3),MMWR_TRAD_AGG_NATIONAL[],3,0),"--")</f>
        <v>17776</v>
      </c>
      <c r="H9" s="176">
        <f t="shared" si="0"/>
        <v>0.42388401373521556</v>
      </c>
      <c r="I9" s="69" t="s">
        <v>319</v>
      </c>
      <c r="J9" s="281" t="s">
        <v>274</v>
      </c>
      <c r="K9" s="282"/>
      <c r="L9" s="174">
        <f>IFERROR(VLOOKUP(MID(J9,4,3),MMWR_TRAD_AGG_NATIONAL[],2,0),"--")</f>
        <v>5884</v>
      </c>
      <c r="M9" s="175">
        <f>IFERROR(VLOOKUP(MID(J9,4,3),MMWR_TRAD_AGG_NATIONAL[],3,0),"--")</f>
        <v>334</v>
      </c>
      <c r="N9" s="176">
        <f>IF(M9="--", 0, M9/L9)</f>
        <v>5.6764106050305914E-2</v>
      </c>
      <c r="O9" s="69" t="s">
        <v>319</v>
      </c>
      <c r="P9" s="442" t="s">
        <v>249</v>
      </c>
      <c r="Q9" s="443"/>
      <c r="R9" s="187">
        <f>VLOOKUP(P9,MMWR_APP_NATIONAL[],2,0)</f>
        <v>58052</v>
      </c>
      <c r="S9" s="444" t="s">
        <v>238</v>
      </c>
      <c r="T9" s="392"/>
      <c r="U9" s="188">
        <f>VLOOKUP(P9,MMWR_APP_NATIONAL[],3,0)</f>
        <v>617.72941500720003</v>
      </c>
      <c r="V9" s="25"/>
    </row>
    <row r="10" spans="1:22" s="1" customFormat="1" ht="63" customHeight="1" thickBot="1" x14ac:dyDescent="0.25">
      <c r="A10" s="25"/>
      <c r="B10" s="281" t="s">
        <v>256</v>
      </c>
      <c r="C10" s="282"/>
      <c r="D10" s="282"/>
      <c r="E10" s="391"/>
      <c r="F10" s="174">
        <f>IFERROR(VLOOKUP(MID(B10,4,3),MMWR_TRAD_AGG_NATIONAL[],2,0),"--")</f>
        <v>96811</v>
      </c>
      <c r="G10" s="175">
        <f>IFERROR(VLOOKUP(MID(B10,4,3),MMWR_TRAD_AGG_NATIONAL[],3,0),"--")</f>
        <v>36936</v>
      </c>
      <c r="H10" s="176">
        <f t="shared" si="0"/>
        <v>0.38152689260517919</v>
      </c>
      <c r="I10" s="69" t="s">
        <v>319</v>
      </c>
      <c r="J10" s="283" t="s">
        <v>276</v>
      </c>
      <c r="K10" s="284"/>
      <c r="L10" s="174">
        <f>IFERROR(VLOOKUP(MID(J10,4,3),MMWR_TRAD_AGG_NATIONAL[],2,0),"--")</f>
        <v>12489</v>
      </c>
      <c r="M10" s="175">
        <f>IFERROR(VLOOKUP(MID(J10,4,3),MMWR_TRAD_AGG_NATIONAL[],3,0),"--")</f>
        <v>2065</v>
      </c>
      <c r="N10" s="176">
        <f>IF(M10="--", 0, M10/L10)</f>
        <v>0.16534550404355833</v>
      </c>
      <c r="O10" s="70"/>
      <c r="P10" s="442" t="s">
        <v>250</v>
      </c>
      <c r="Q10" s="443"/>
      <c r="R10" s="187">
        <f>VLOOKUP(P10,MMWR_APP_NATIONAL[],2,0)</f>
        <v>22934</v>
      </c>
      <c r="S10" s="444" t="s">
        <v>239</v>
      </c>
      <c r="T10" s="392"/>
      <c r="U10" s="188">
        <f>VLOOKUP(P10,MMWR_APP_NATIONAL[],3,0)</f>
        <v>529.52044998689996</v>
      </c>
      <c r="V10" s="25"/>
    </row>
    <row r="11" spans="1:22" s="1" customFormat="1" ht="45" customHeight="1" thickBot="1" x14ac:dyDescent="0.25">
      <c r="A11" s="25"/>
      <c r="B11" s="389" t="s">
        <v>308</v>
      </c>
      <c r="C11" s="390"/>
      <c r="D11" s="390"/>
      <c r="E11" s="390"/>
      <c r="F11" s="171">
        <f>SUM(F12:F13)</f>
        <v>7034</v>
      </c>
      <c r="G11" s="172">
        <f>SUM(G12:G13)</f>
        <v>1382</v>
      </c>
      <c r="H11" s="173">
        <f t="shared" si="0"/>
        <v>0.19647426784191072</v>
      </c>
      <c r="I11" s="25"/>
      <c r="J11" s="389" t="s">
        <v>245</v>
      </c>
      <c r="K11" s="390"/>
      <c r="L11" s="171">
        <f>SUM(L12:L17)</f>
        <v>33221</v>
      </c>
      <c r="M11" s="171">
        <f>SUM(M12:M17)</f>
        <v>6013</v>
      </c>
      <c r="N11" s="164">
        <f>IF(M11="--", 0, M11/L11)</f>
        <v>0.18099996989855813</v>
      </c>
      <c r="O11" s="70"/>
      <c r="P11" s="442" t="s">
        <v>990</v>
      </c>
      <c r="Q11" s="443"/>
      <c r="R11" s="187">
        <f>VLOOKUP(P11,MMWR_APP_NATIONAL[],2,0)</f>
        <v>13004</v>
      </c>
      <c r="S11" s="444" t="s">
        <v>240</v>
      </c>
      <c r="T11" s="392"/>
      <c r="U11" s="188">
        <f>VLOOKUP(P11,MMWR_APP_NATIONAL[],3,0)</f>
        <v>182.38242079360001</v>
      </c>
      <c r="V11" s="25"/>
    </row>
    <row r="12" spans="1:22" s="1" customFormat="1" ht="46.5" customHeight="1" thickBot="1" x14ac:dyDescent="0.25">
      <c r="A12" s="25"/>
      <c r="B12" s="406" t="s">
        <v>278</v>
      </c>
      <c r="C12" s="407"/>
      <c r="D12" s="407"/>
      <c r="E12" s="408"/>
      <c r="F12" s="174">
        <f>IFERROR(VLOOKUP(MID(B12,4,3),MMWR_TRAD_AGG_NATIONAL[],2,0),"--")</f>
        <v>6505</v>
      </c>
      <c r="G12" s="175">
        <f>IFERROR(VLOOKUP(MID(B12,4,3),MMWR_TRAD_AGG_NATIONAL[],3,0),"--")</f>
        <v>971</v>
      </c>
      <c r="H12" s="176">
        <f t="shared" si="0"/>
        <v>0.14926979246733282</v>
      </c>
      <c r="I12" s="69" t="s">
        <v>319</v>
      </c>
      <c r="J12" s="283" t="s">
        <v>268</v>
      </c>
      <c r="K12" s="392"/>
      <c r="L12" s="174">
        <f>IFERROR(VLOOKUP(MID(J12,4,3)&amp;"p",MMWR_TRAD_AGG_NATIONAL[],2,0),"--")</f>
        <v>810</v>
      </c>
      <c r="M12" s="175">
        <f>IFERROR(VLOOKUP(MID(J12,4,3)&amp;"p",MMWR_TRAD_AGG_NATIONAL[],3,0),"--")</f>
        <v>30</v>
      </c>
      <c r="N12" s="176">
        <f t="shared" ref="N12:N17" si="1">IF(L12="--", 0,M12/L12)</f>
        <v>3.7037037037037035E-2</v>
      </c>
      <c r="O12" s="70"/>
      <c r="P12" s="442" t="s">
        <v>970</v>
      </c>
      <c r="Q12" s="443"/>
      <c r="R12" s="187">
        <f>VLOOKUP(P12,MMWR_APP_NATIONAL[],2,0)</f>
        <v>406</v>
      </c>
      <c r="S12" s="445" t="s">
        <v>988</v>
      </c>
      <c r="T12" s="393"/>
      <c r="U12" s="188">
        <f>VLOOKUP(P12,MMWR_APP_NATIONAL[],3,0)</f>
        <v>472.42857142859998</v>
      </c>
      <c r="V12" s="25"/>
    </row>
    <row r="13" spans="1:22" s="1" customFormat="1" ht="49.5" customHeight="1" thickBot="1" x14ac:dyDescent="0.25">
      <c r="A13" s="25"/>
      <c r="B13" s="406" t="s">
        <v>258</v>
      </c>
      <c r="C13" s="407"/>
      <c r="D13" s="407"/>
      <c r="E13" s="408"/>
      <c r="F13" s="174">
        <f>IFERROR(VLOOKUP(MID(B13,4,3),MMWR_TRAD_AGG_NATIONAL[],2,0),"--")</f>
        <v>529</v>
      </c>
      <c r="G13" s="175">
        <f>IFERROR(VLOOKUP(MID(B13,4,3),MMWR_TRAD_AGG_NATIONAL[],3,0),"--")</f>
        <v>411</v>
      </c>
      <c r="H13" s="176">
        <f t="shared" si="0"/>
        <v>0.77693761814744799</v>
      </c>
      <c r="I13" s="25"/>
      <c r="J13" s="283" t="s">
        <v>277</v>
      </c>
      <c r="K13" s="392"/>
      <c r="L13" s="174">
        <f>IFERROR(VLOOKUP(MID(J13,4,3),MMWR_TRAD_AGG_NATIONAL[],2,0),"--")</f>
        <v>3740</v>
      </c>
      <c r="M13" s="175">
        <f>IFERROR(VLOOKUP(MID(J13,4,3),MMWR_TRAD_AGG_NATIONAL[],3,0),"--")</f>
        <v>621</v>
      </c>
      <c r="N13" s="176">
        <f t="shared" si="1"/>
        <v>0.1660427807486631</v>
      </c>
      <c r="O13" s="70"/>
      <c r="P13" s="389" t="s">
        <v>1000</v>
      </c>
      <c r="Q13" s="390"/>
      <c r="R13" s="438"/>
      <c r="S13" s="439">
        <f>VLOOKUP(P13,MMWR_APP_NATIONAL[],2,0)</f>
        <v>21949</v>
      </c>
      <c r="T13" s="440"/>
      <c r="U13" s="441"/>
      <c r="V13" s="25"/>
    </row>
    <row r="14" spans="1:22" s="1" customFormat="1" ht="45" customHeight="1" thickBot="1" x14ac:dyDescent="0.25">
      <c r="A14" s="25"/>
      <c r="B14" s="389" t="s">
        <v>1</v>
      </c>
      <c r="C14" s="390"/>
      <c r="D14" s="390"/>
      <c r="E14" s="390"/>
      <c r="F14" s="171">
        <f>SUM(F15:F21)</f>
        <v>224129</v>
      </c>
      <c r="G14" s="172">
        <f>SUM(G15:G21)</f>
        <v>73067</v>
      </c>
      <c r="H14" s="173">
        <f t="shared" si="0"/>
        <v>0.32600422078356661</v>
      </c>
      <c r="I14" s="25"/>
      <c r="J14" s="283" t="s">
        <v>279</v>
      </c>
      <c r="K14" s="392"/>
      <c r="L14" s="174">
        <f>IFERROR(VLOOKUP(MID(J14,4,3),MMWR_TRAD_AGG_NATIONAL[],2,0),"--")</f>
        <v>12386</v>
      </c>
      <c r="M14" s="175">
        <f>IFERROR(VLOOKUP(MID(J14,4,3),MMWR_TRAD_AGG_NATIONAL[],3,0),"--")</f>
        <v>1883</v>
      </c>
      <c r="N14" s="176">
        <f t="shared" si="1"/>
        <v>0.15202648151138382</v>
      </c>
      <c r="O14" s="70"/>
      <c r="P14" s="21"/>
      <c r="Q14" s="21"/>
      <c r="R14" s="21"/>
      <c r="S14" s="28"/>
      <c r="T14" s="28"/>
      <c r="U14" s="71"/>
      <c r="V14" s="25"/>
    </row>
    <row r="15" spans="1:22" s="1" customFormat="1" ht="44.25" customHeight="1" thickBot="1" x14ac:dyDescent="0.25">
      <c r="A15" s="25"/>
      <c r="B15" s="281" t="s">
        <v>259</v>
      </c>
      <c r="C15" s="282"/>
      <c r="D15" s="282"/>
      <c r="E15" s="391"/>
      <c r="F15" s="174">
        <f>IFERROR(VLOOKUP(MID(B15,4,3),MMWR_TRAD_AGG_NATIONAL[],2,0),"--")</f>
        <v>223564</v>
      </c>
      <c r="G15" s="175">
        <f>IFERROR(VLOOKUP(MID(B15,4,3),MMWR_TRAD_AGG_NATIONAL[],3,0),"--")</f>
        <v>72891</v>
      </c>
      <c r="H15" s="176">
        <f t="shared" si="0"/>
        <v>0.32604086525558679</v>
      </c>
      <c r="I15" s="69" t="s">
        <v>319</v>
      </c>
      <c r="J15" s="283" t="s">
        <v>280</v>
      </c>
      <c r="K15" s="392"/>
      <c r="L15" s="174">
        <f>IFERROR(VLOOKUP(MID(J15,4,3),MMWR_TRAD_AGG_NATIONAL[],2,0),"--")</f>
        <v>1</v>
      </c>
      <c r="M15" s="175">
        <f>IFERROR(VLOOKUP(MID(J15,4,3),MMWR_TRAD_AGG_NATIONAL[],3,0),"--")</f>
        <v>1</v>
      </c>
      <c r="N15" s="176">
        <f t="shared" si="1"/>
        <v>1</v>
      </c>
      <c r="O15" s="70"/>
      <c r="P15" s="25"/>
      <c r="Q15" s="25"/>
      <c r="R15" s="25"/>
      <c r="S15" s="25"/>
      <c r="T15" s="28"/>
      <c r="U15" s="72"/>
      <c r="V15" s="25"/>
    </row>
    <row r="16" spans="1:22" s="1" customFormat="1" ht="57.75" customHeight="1" thickBot="1" x14ac:dyDescent="0.25">
      <c r="A16" s="25"/>
      <c r="B16" s="283" t="s">
        <v>260</v>
      </c>
      <c r="C16" s="284"/>
      <c r="D16" s="284"/>
      <c r="E16" s="392"/>
      <c r="F16" s="174">
        <f>IFERROR(VLOOKUP(MID(B16,4,3),MMWR_TRAD_AGG_NATIONAL[],2,0),"--")</f>
        <v>361</v>
      </c>
      <c r="G16" s="175">
        <f>IFERROR(VLOOKUP(MID(B16,4,3),MMWR_TRAD_AGG_NATIONAL[],3,0),"--")</f>
        <v>49</v>
      </c>
      <c r="H16" s="176">
        <f t="shared" si="0"/>
        <v>0.13573407202216067</v>
      </c>
      <c r="I16" s="69" t="s">
        <v>319</v>
      </c>
      <c r="J16" s="283" t="s">
        <v>281</v>
      </c>
      <c r="K16" s="392"/>
      <c r="L16" s="174">
        <f>IFERROR(VLOOKUP(MID(J16,4,3),MMWR_TRAD_AGG_NATIONAL[],2,0),"--")</f>
        <v>4362</v>
      </c>
      <c r="M16" s="175">
        <f>IFERROR(VLOOKUP(MID(J16,4,3),MMWR_TRAD_AGG_NATIONAL[],3,0),"--")</f>
        <v>1382</v>
      </c>
      <c r="N16" s="176">
        <f t="shared" si="1"/>
        <v>0.31682714351215041</v>
      </c>
      <c r="O16" s="70"/>
      <c r="P16" s="424" t="s">
        <v>971</v>
      </c>
      <c r="Q16" s="425"/>
      <c r="R16" s="425"/>
      <c r="S16" s="426"/>
      <c r="T16" s="28"/>
      <c r="U16" s="72"/>
      <c r="V16" s="25"/>
    </row>
    <row r="17" spans="1:22" s="1" customFormat="1" ht="31.5" customHeight="1" thickBot="1" x14ac:dyDescent="0.25">
      <c r="A17" s="25"/>
      <c r="B17" s="283" t="s">
        <v>261</v>
      </c>
      <c r="C17" s="284"/>
      <c r="D17" s="284"/>
      <c r="E17" s="392"/>
      <c r="F17" s="174">
        <f>IFERROR(VLOOKUP(MID(B17,4,3),MMWR_TRAD_AGG_NATIONAL[],2,0),"--")</f>
        <v>163</v>
      </c>
      <c r="G17" s="175">
        <f>IFERROR(VLOOKUP(MID(B17,4,3),MMWR_TRAD_AGG_NATIONAL[],3,0),"--")</f>
        <v>108</v>
      </c>
      <c r="H17" s="176">
        <f t="shared" si="0"/>
        <v>0.66257668711656437</v>
      </c>
      <c r="I17" s="25"/>
      <c r="J17" s="283" t="s">
        <v>282</v>
      </c>
      <c r="K17" s="392"/>
      <c r="L17" s="174">
        <f>IFERROR(VLOOKUP(MID(J17,4,3),MMWR_TRAD_AGG_NATIONAL[],2,0),"--")</f>
        <v>11922</v>
      </c>
      <c r="M17" s="175">
        <f>IFERROR(VLOOKUP(MID(J17,4,3),MMWR_TRAD_AGG_NATIONAL[],3,0),"--")</f>
        <v>2096</v>
      </c>
      <c r="N17" s="176">
        <f t="shared" si="1"/>
        <v>0.17580942794833082</v>
      </c>
      <c r="O17" s="73"/>
      <c r="P17" s="431" t="s">
        <v>253</v>
      </c>
      <c r="Q17" s="432"/>
      <c r="R17" s="432"/>
      <c r="S17" s="189">
        <f>IFERROR(VLOOKUP("160",MMWR_TRAD_AGG_NATIONAL[],2,0),"--")</f>
        <v>17794</v>
      </c>
      <c r="T17" s="28"/>
      <c r="U17" s="72"/>
      <c r="V17" s="25"/>
    </row>
    <row r="18" spans="1:22" s="1" customFormat="1" ht="32.25" customHeight="1" thickBot="1" x14ac:dyDescent="0.25">
      <c r="A18" s="25"/>
      <c r="B18" s="283" t="s">
        <v>262</v>
      </c>
      <c r="C18" s="284"/>
      <c r="D18" s="284"/>
      <c r="E18" s="392"/>
      <c r="F18" s="174">
        <f>IFERROR(VLOOKUP(MID(B18,4,3),MMWR_TRAD_AGG_NATIONAL[],2,0),"--")</f>
        <v>31</v>
      </c>
      <c r="G18" s="175">
        <f>IFERROR(VLOOKUP(MID(B18,4,3),MMWR_TRAD_AGG_NATIONAL[],3,0),"--")</f>
        <v>17</v>
      </c>
      <c r="H18" s="176">
        <f t="shared" si="0"/>
        <v>0.54838709677419351</v>
      </c>
      <c r="I18" s="69" t="s">
        <v>319</v>
      </c>
      <c r="J18" s="389" t="s">
        <v>15</v>
      </c>
      <c r="K18" s="390"/>
      <c r="L18" s="171">
        <f>SUM(L19:L21)</f>
        <v>860</v>
      </c>
      <c r="M18" s="171">
        <f>SUM(M19:M21)</f>
        <v>842</v>
      </c>
      <c r="N18" s="164">
        <f t="shared" ref="N18:N26" si="2">IF(M18="--", 0, M18/L18)</f>
        <v>0.97906976744186047</v>
      </c>
      <c r="O18" s="74"/>
      <c r="P18" s="433" t="s">
        <v>254</v>
      </c>
      <c r="Q18" s="434"/>
      <c r="R18" s="434"/>
      <c r="S18" s="190">
        <f>IFERROR(VLOOKUP("165",MMWR_TRAD_AGG_NATIONAL[],2,0),"--")</f>
        <v>8855</v>
      </c>
      <c r="T18" s="28"/>
      <c r="U18" s="72"/>
      <c r="V18" s="25"/>
    </row>
    <row r="19" spans="1:22" s="1" customFormat="1" ht="41.25" customHeight="1" x14ac:dyDescent="0.4">
      <c r="A19" s="25"/>
      <c r="B19" s="283" t="s">
        <v>263</v>
      </c>
      <c r="C19" s="284"/>
      <c r="D19" s="284"/>
      <c r="E19" s="392"/>
      <c r="F19" s="174">
        <f>IFERROR(VLOOKUP(MID(B19,4,3),MMWR_TRAD_AGG_NATIONAL[],2,0),"--")</f>
        <v>1</v>
      </c>
      <c r="G19" s="175">
        <f>IFERROR(VLOOKUP(MID(B19,4,3),MMWR_TRAD_AGG_NATIONAL[],3,0),"--")</f>
        <v>1</v>
      </c>
      <c r="H19" s="176">
        <f t="shared" si="0"/>
        <v>1</v>
      </c>
      <c r="I19" s="69" t="s">
        <v>319</v>
      </c>
      <c r="J19" s="283" t="s">
        <v>283</v>
      </c>
      <c r="K19" s="392"/>
      <c r="L19" s="174">
        <f>IFERROR(VLOOKUP(MID(J19,4,3),MMWR_TRAD_AGG_NATIONAL[],2,0),"--")</f>
        <v>754</v>
      </c>
      <c r="M19" s="175">
        <f>IFERROR(VLOOKUP(MID(J19,4,3),MMWR_TRAD_AGG_NATIONAL[],3,0),"--")</f>
        <v>744</v>
      </c>
      <c r="N19" s="176">
        <f t="shared" si="2"/>
        <v>0.98673740053050396</v>
      </c>
      <c r="O19" s="57"/>
      <c r="P19" s="25"/>
      <c r="Q19" s="25"/>
      <c r="R19" s="25"/>
      <c r="S19" s="25"/>
      <c r="T19" s="28"/>
      <c r="U19" s="72"/>
      <c r="V19" s="25"/>
    </row>
    <row r="20" spans="1:22" s="1" customFormat="1" ht="40.5" customHeight="1" x14ac:dyDescent="0.4">
      <c r="A20" s="25"/>
      <c r="B20" s="283" t="s">
        <v>264</v>
      </c>
      <c r="C20" s="284"/>
      <c r="D20" s="284"/>
      <c r="E20" s="392"/>
      <c r="F20" s="174">
        <f>IFERROR(VLOOKUP(MID(B20,4,3),MMWR_TRAD_AGG_NATIONAL[],2,0),"--")</f>
        <v>7</v>
      </c>
      <c r="G20" s="175">
        <f>IFERROR(VLOOKUP(MID(B20,4,3),MMWR_TRAD_AGG_NATIONAL[],3,0),"--")</f>
        <v>1</v>
      </c>
      <c r="H20" s="176">
        <f t="shared" si="0"/>
        <v>0.14285714285714285</v>
      </c>
      <c r="I20" s="69" t="s">
        <v>319</v>
      </c>
      <c r="J20" s="283" t="s">
        <v>306</v>
      </c>
      <c r="K20" s="392"/>
      <c r="L20" s="174">
        <f>IFERROR(VLOOKUP(MID(J20,4,3),MMWR_TRAD_AGG_NATIONAL[],2,0),"--")</f>
        <v>102</v>
      </c>
      <c r="M20" s="175">
        <f>IFERROR(VLOOKUP(MID(J20,4,3),MMWR_TRAD_AGG_NATIONAL[],3,0),"--")</f>
        <v>96</v>
      </c>
      <c r="N20" s="176">
        <f t="shared" si="2"/>
        <v>0.94117647058823528</v>
      </c>
      <c r="O20" s="57"/>
      <c r="P20" s="57"/>
      <c r="Q20" s="57"/>
      <c r="R20" s="57"/>
      <c r="S20" s="57"/>
      <c r="T20" s="57"/>
      <c r="U20" s="75"/>
      <c r="V20" s="25"/>
    </row>
    <row r="21" spans="1:22" s="1" customFormat="1" ht="39" customHeight="1" thickBot="1" x14ac:dyDescent="0.45">
      <c r="A21" s="25"/>
      <c r="B21" s="283" t="s">
        <v>265</v>
      </c>
      <c r="C21" s="284"/>
      <c r="D21" s="284"/>
      <c r="E21" s="392"/>
      <c r="F21" s="174">
        <f>IFERROR(VLOOKUP(MID(B21,4,3),MMWR_TRAD_AGG_NATIONAL[],2,0),"--")</f>
        <v>2</v>
      </c>
      <c r="G21" s="175">
        <f>IFERROR(VLOOKUP(MID(B21,4,3),MMWR_TRAD_AGG_NATIONAL[],3,0),"--")</f>
        <v>0</v>
      </c>
      <c r="H21" s="176">
        <f t="shared" si="0"/>
        <v>0</v>
      </c>
      <c r="I21" s="69" t="s">
        <v>319</v>
      </c>
      <c r="J21" s="283" t="s">
        <v>284</v>
      </c>
      <c r="K21" s="392"/>
      <c r="L21" s="174">
        <f>IFERROR(VLOOKUP(MID(J21,4,3),MMWR_TRAD_AGG_NATIONAL[],2,0),"--")</f>
        <v>4</v>
      </c>
      <c r="M21" s="175">
        <f>IFERROR(VLOOKUP(MID(J21,4,3),MMWR_TRAD_AGG_NATIONAL[],3,0),"--")</f>
        <v>2</v>
      </c>
      <c r="N21" s="176">
        <f t="shared" si="2"/>
        <v>0.5</v>
      </c>
      <c r="O21" s="57"/>
      <c r="P21" s="57"/>
      <c r="Q21" s="57"/>
      <c r="R21" s="57"/>
      <c r="S21" s="57"/>
      <c r="T21" s="57"/>
      <c r="U21" s="75"/>
      <c r="V21" s="25"/>
    </row>
    <row r="22" spans="1:22" s="1" customFormat="1" ht="32.25" customHeight="1" thickBot="1" x14ac:dyDescent="0.45">
      <c r="A22" s="25"/>
      <c r="B22" s="389" t="s">
        <v>13</v>
      </c>
      <c r="C22" s="390"/>
      <c r="D22" s="390"/>
      <c r="E22" s="390"/>
      <c r="F22" s="171">
        <f>SUM(F23:F29)</f>
        <v>492886</v>
      </c>
      <c r="G22" s="172">
        <f>SUM(G23:G29)</f>
        <v>314646</v>
      </c>
      <c r="H22" s="173">
        <f t="shared" si="0"/>
        <v>0.63837479660611174</v>
      </c>
      <c r="I22" s="25"/>
      <c r="J22" s="389" t="s">
        <v>232</v>
      </c>
      <c r="K22" s="390"/>
      <c r="L22" s="171">
        <f>SUM(L23:L26)</f>
        <v>5315</v>
      </c>
      <c r="M22" s="171">
        <f>SUM(M23:M26)</f>
        <v>983</v>
      </c>
      <c r="N22" s="164">
        <f t="shared" si="2"/>
        <v>0.18494825964252118</v>
      </c>
      <c r="O22" s="57"/>
      <c r="P22" s="25"/>
      <c r="Q22" s="25"/>
      <c r="R22" s="25"/>
      <c r="S22" s="25"/>
      <c r="T22" s="57"/>
      <c r="U22" s="75"/>
      <c r="V22" s="25"/>
    </row>
    <row r="23" spans="1:22" s="1" customFormat="1" ht="26.25" customHeight="1" x14ac:dyDescent="0.4">
      <c r="A23" s="25"/>
      <c r="B23" s="406" t="s">
        <v>266</v>
      </c>
      <c r="C23" s="407"/>
      <c r="D23" s="407"/>
      <c r="E23" s="408"/>
      <c r="F23" s="174">
        <f>IFERROR(VLOOKUP(MID(B23,4,3),MMWR_TRAD_AGG_NATIONAL[],2,0),"--")</f>
        <v>227508</v>
      </c>
      <c r="G23" s="175">
        <f>IFERROR(VLOOKUP(MID(B23,4,3),MMWR_TRAD_AGG_NATIONAL[],3,0),"--")</f>
        <v>172409</v>
      </c>
      <c r="H23" s="176">
        <f t="shared" si="0"/>
        <v>0.75781510979833677</v>
      </c>
      <c r="I23" s="25"/>
      <c r="J23" s="394" t="s">
        <v>287</v>
      </c>
      <c r="K23" s="396"/>
      <c r="L23" s="177">
        <f>IFERROR(VLOOKUP(MID(J23,4,3),MMWR_TRAD_AGG_NATIONAL[],2,0),"--")</f>
        <v>4218</v>
      </c>
      <c r="M23" s="178">
        <f>IFERROR(VLOOKUP(MID(J23,4,3),MMWR_TRAD_AGG_NATIONAL[],3,0),"--")</f>
        <v>644</v>
      </c>
      <c r="N23" s="179">
        <f t="shared" si="2"/>
        <v>0.15267899478425795</v>
      </c>
      <c r="O23" s="57"/>
      <c r="P23" s="25"/>
      <c r="Q23" s="25"/>
      <c r="R23" s="25"/>
      <c r="S23" s="25"/>
      <c r="T23" s="57"/>
      <c r="U23" s="75"/>
      <c r="V23" s="25"/>
    </row>
    <row r="24" spans="1:22" s="1" customFormat="1" ht="39.75" customHeight="1" x14ac:dyDescent="0.4">
      <c r="A24" s="25"/>
      <c r="B24" s="406" t="s">
        <v>267</v>
      </c>
      <c r="C24" s="407"/>
      <c r="D24" s="407"/>
      <c r="E24" s="408"/>
      <c r="F24" s="174">
        <f>IFERROR(VLOOKUP(MID(B24,4,3),MMWR_TRAD_AGG_NATIONAL[],2,0),"--")</f>
        <v>184</v>
      </c>
      <c r="G24" s="175">
        <f>IFERROR(VLOOKUP(MID(B24,4,3),MMWR_TRAD_AGG_NATIONAL[],3,0),"--")</f>
        <v>101</v>
      </c>
      <c r="H24" s="176">
        <f t="shared" si="0"/>
        <v>0.54891304347826086</v>
      </c>
      <c r="I24" s="25"/>
      <c r="J24" s="283" t="s">
        <v>286</v>
      </c>
      <c r="K24" s="392"/>
      <c r="L24" s="174">
        <f>IFERROR(VLOOKUP(MID(J24,4,3),MMWR_TRAD_AGG_NATIONAL[],2,0),"--")</f>
        <v>436</v>
      </c>
      <c r="M24" s="175">
        <f>IFERROR(VLOOKUP(MID(J24,4,3),MMWR_TRAD_AGG_NATIONAL[],3,0),"--")</f>
        <v>15</v>
      </c>
      <c r="N24" s="176">
        <f t="shared" si="2"/>
        <v>3.4403669724770644E-2</v>
      </c>
      <c r="O24" s="57"/>
      <c r="P24" s="25"/>
      <c r="Q24" s="25"/>
      <c r="R24" s="25"/>
      <c r="S24" s="25"/>
      <c r="T24" s="57"/>
      <c r="U24" s="75"/>
      <c r="V24" s="25"/>
    </row>
    <row r="25" spans="1:22" s="1" customFormat="1" ht="37.5" customHeight="1" x14ac:dyDescent="0.4">
      <c r="A25" s="25"/>
      <c r="B25" s="406" t="s">
        <v>268</v>
      </c>
      <c r="C25" s="407"/>
      <c r="D25" s="407"/>
      <c r="E25" s="408"/>
      <c r="F25" s="174">
        <f>IFERROR(VLOOKUP(MID(B25,4,3),MMWR_TRAD_AGG_NATIONAL[],2,0),"--")</f>
        <v>245</v>
      </c>
      <c r="G25" s="175">
        <f>IFERROR(VLOOKUP(MID(B25,4,3),MMWR_TRAD_AGG_NATIONAL[],3,0),"--")</f>
        <v>177</v>
      </c>
      <c r="H25" s="176">
        <f t="shared" si="0"/>
        <v>0.72244897959183674</v>
      </c>
      <c r="I25" s="25"/>
      <c r="J25" s="283" t="s">
        <v>285</v>
      </c>
      <c r="K25" s="392"/>
      <c r="L25" s="174">
        <f>IFERROR(VLOOKUP(MID(J25,4,3),MMWR_TRAD_AGG_NATIONAL[],2,0),"--")</f>
        <v>612</v>
      </c>
      <c r="M25" s="175">
        <f>IFERROR(VLOOKUP(MID(J25,4,3),MMWR_TRAD_AGG_NATIONAL[],3,0),"--")</f>
        <v>298</v>
      </c>
      <c r="N25" s="176">
        <f t="shared" si="2"/>
        <v>0.48692810457516339</v>
      </c>
      <c r="O25" s="57"/>
      <c r="P25" s="57"/>
      <c r="Q25" s="57"/>
      <c r="R25" s="57"/>
      <c r="S25" s="57"/>
      <c r="T25" s="57"/>
      <c r="U25" s="75"/>
      <c r="V25" s="25"/>
    </row>
    <row r="26" spans="1:22" s="1" customFormat="1" ht="37.5" customHeight="1" thickBot="1" x14ac:dyDescent="0.45">
      <c r="A26" s="25"/>
      <c r="B26" s="406" t="s">
        <v>269</v>
      </c>
      <c r="C26" s="407"/>
      <c r="D26" s="407"/>
      <c r="E26" s="408"/>
      <c r="F26" s="174">
        <f>IFERROR(VLOOKUP(MID(B26,4,3),MMWR_TRAD_AGG_NATIONAL[],2,0),"--")</f>
        <v>134102</v>
      </c>
      <c r="G26" s="175">
        <f>IFERROR(VLOOKUP(MID(B26,4,3),MMWR_TRAD_AGG_NATIONAL[],3,0),"--")</f>
        <v>83811</v>
      </c>
      <c r="H26" s="176">
        <f t="shared" si="0"/>
        <v>0.62497949322157764</v>
      </c>
      <c r="I26" s="57"/>
      <c r="J26" s="288" t="s">
        <v>322</v>
      </c>
      <c r="K26" s="393"/>
      <c r="L26" s="180">
        <f>IFERROR(VLOOKUP(MID(J26,4,3),MMWR_TRAD_AGG_NATIONAL[],2,0),"--")</f>
        <v>49</v>
      </c>
      <c r="M26" s="181">
        <f>IFERROR(VLOOKUP(MID(J26,4,3),MMWR_TRAD_AGG_NATIONAL[],3,0),"--")</f>
        <v>26</v>
      </c>
      <c r="N26" s="182">
        <f t="shared" si="2"/>
        <v>0.53061224489795922</v>
      </c>
      <c r="O26" s="57"/>
      <c r="P26" s="57"/>
      <c r="Q26" s="57"/>
      <c r="R26" s="57"/>
      <c r="S26" s="57"/>
      <c r="T26" s="57"/>
      <c r="U26" s="75"/>
      <c r="V26" s="25"/>
    </row>
    <row r="27" spans="1:22" s="1" customFormat="1" ht="26.25" customHeight="1" thickBot="1" x14ac:dyDescent="0.45">
      <c r="A27" s="25"/>
      <c r="B27" s="406" t="s">
        <v>270</v>
      </c>
      <c r="C27" s="407"/>
      <c r="D27" s="407"/>
      <c r="E27" s="408"/>
      <c r="F27" s="174">
        <f>IFERROR(VLOOKUP(MID(B27,4,3),MMWR_TRAD_AGG_NATIONAL[],2,0),"--")</f>
        <v>7</v>
      </c>
      <c r="G27" s="175">
        <f>IFERROR(VLOOKUP(MID(B27,4,3),MMWR_TRAD_AGG_NATIONAL[],3,0),"--")</f>
        <v>5</v>
      </c>
      <c r="H27" s="176">
        <f t="shared" si="0"/>
        <v>0.7142857142857143</v>
      </c>
      <c r="I27" s="57"/>
      <c r="J27" s="57"/>
      <c r="K27" s="57"/>
      <c r="L27" s="57"/>
      <c r="M27" s="57"/>
      <c r="N27" s="57"/>
      <c r="O27" s="57"/>
      <c r="P27" s="57"/>
      <c r="Q27" s="57"/>
      <c r="R27" s="57"/>
      <c r="S27" s="57"/>
      <c r="T27" s="57"/>
      <c r="U27" s="75"/>
      <c r="V27" s="25"/>
    </row>
    <row r="28" spans="1:22" s="1" customFormat="1" ht="32.25" customHeight="1" x14ac:dyDescent="0.4">
      <c r="A28" s="25"/>
      <c r="B28" s="406" t="s">
        <v>271</v>
      </c>
      <c r="C28" s="407"/>
      <c r="D28" s="407"/>
      <c r="E28" s="408"/>
      <c r="F28" s="174">
        <f>IFERROR(VLOOKUP(MID(B28,4,3),MMWR_TRAD_AGG_NATIONAL[],2,0),"--")</f>
        <v>16422</v>
      </c>
      <c r="G28" s="175">
        <f>IFERROR(VLOOKUP(MID(B28,4,3),MMWR_TRAD_AGG_NATIONAL[],3,0),"--")</f>
        <v>3100</v>
      </c>
      <c r="H28" s="176">
        <f t="shared" si="0"/>
        <v>0.18877116063816832</v>
      </c>
      <c r="I28" s="69" t="s">
        <v>319</v>
      </c>
      <c r="J28" s="400" t="s">
        <v>321</v>
      </c>
      <c r="K28" s="401"/>
      <c r="L28" s="401"/>
      <c r="M28" s="401"/>
      <c r="N28" s="402"/>
      <c r="O28" s="435" t="s">
        <v>319</v>
      </c>
      <c r="P28" s="76"/>
      <c r="Q28" s="57"/>
      <c r="R28" s="57"/>
      <c r="S28" s="57"/>
      <c r="T28" s="57"/>
      <c r="U28" s="75"/>
      <c r="V28" s="25"/>
    </row>
    <row r="29" spans="1:22" s="1" customFormat="1" ht="27" customHeight="1" thickBot="1" x14ac:dyDescent="0.45">
      <c r="A29" s="25"/>
      <c r="B29" s="406" t="s">
        <v>272</v>
      </c>
      <c r="C29" s="407"/>
      <c r="D29" s="407"/>
      <c r="E29" s="408"/>
      <c r="F29" s="174">
        <f>IFERROR(VLOOKUP(MID(B29,4,3),MMWR_TRAD_AGG_NATIONAL[],2,0),"--")</f>
        <v>114418</v>
      </c>
      <c r="G29" s="175">
        <f>IFERROR(VLOOKUP(MID(B29,4,3),MMWR_TRAD_AGG_NATIONAL[],3,0),"--")</f>
        <v>55043</v>
      </c>
      <c r="H29" s="176">
        <f t="shared" si="0"/>
        <v>0.48106941215543009</v>
      </c>
      <c r="I29" s="57"/>
      <c r="J29" s="403"/>
      <c r="K29" s="404"/>
      <c r="L29" s="404"/>
      <c r="M29" s="404"/>
      <c r="N29" s="405"/>
      <c r="O29" s="435"/>
      <c r="P29" s="77"/>
      <c r="Q29" s="57"/>
      <c r="R29" s="57"/>
      <c r="S29" s="57"/>
      <c r="T29" s="57"/>
      <c r="U29" s="75"/>
      <c r="V29" s="25"/>
    </row>
    <row r="30" spans="1:22" s="1" customFormat="1" ht="32.25" customHeight="1" thickBot="1" x14ac:dyDescent="0.45">
      <c r="A30" s="25"/>
      <c r="B30" s="389" t="s">
        <v>32</v>
      </c>
      <c r="C30" s="390"/>
      <c r="D30" s="390"/>
      <c r="E30" s="390"/>
      <c r="F30" s="172">
        <f>SUM(F31:F37)</f>
        <v>72565</v>
      </c>
      <c r="G30" s="172">
        <f>SUM(G31:G37)</f>
        <v>58825</v>
      </c>
      <c r="H30" s="164">
        <f t="shared" si="0"/>
        <v>0.81065251843175079</v>
      </c>
      <c r="I30" s="57"/>
      <c r="J30" s="28"/>
      <c r="K30" s="28"/>
      <c r="L30" s="28"/>
      <c r="M30" s="28"/>
      <c r="N30" s="28"/>
      <c r="O30" s="28"/>
      <c r="P30" s="57"/>
      <c r="Q30" s="57"/>
      <c r="R30" s="57"/>
      <c r="S30" s="57"/>
      <c r="T30" s="57"/>
      <c r="U30" s="75"/>
      <c r="V30" s="25"/>
    </row>
    <row r="31" spans="1:22" s="1" customFormat="1" ht="33.75" customHeight="1" x14ac:dyDescent="0.4">
      <c r="A31" s="25"/>
      <c r="B31" s="283" t="s">
        <v>289</v>
      </c>
      <c r="C31" s="284"/>
      <c r="D31" s="284"/>
      <c r="E31" s="392"/>
      <c r="F31" s="174">
        <f>IFERROR(VLOOKUP(MID(B31,4,3),MMWR_TRAD_AGG_NATIONAL[],2,0),"--")</f>
        <v>55</v>
      </c>
      <c r="G31" s="175">
        <f>IFERROR(VLOOKUP(MID(B31,4,3),MMWR_TRAD_AGG_NATIONAL[],3,0),"--")</f>
        <v>55</v>
      </c>
      <c r="H31" s="176">
        <f t="shared" si="0"/>
        <v>1</v>
      </c>
      <c r="I31" s="57"/>
      <c r="J31" s="57"/>
      <c r="K31" s="57"/>
      <c r="L31" s="57"/>
      <c r="M31" s="57"/>
      <c r="N31" s="57"/>
      <c r="O31" s="57"/>
      <c r="P31" s="57"/>
      <c r="Q31" s="57"/>
      <c r="R31" s="57"/>
      <c r="S31" s="57"/>
      <c r="T31" s="57"/>
      <c r="U31" s="75"/>
      <c r="V31" s="25"/>
    </row>
    <row r="32" spans="1:22" s="1" customFormat="1" ht="32.25" customHeight="1" x14ac:dyDescent="0.4">
      <c r="A32" s="25"/>
      <c r="B32" s="283" t="s">
        <v>290</v>
      </c>
      <c r="C32" s="284"/>
      <c r="D32" s="284"/>
      <c r="E32" s="392"/>
      <c r="F32" s="174">
        <f>IFERROR(VLOOKUP(MID(B32,4,3),MMWR_TRAD_AGG_NATIONAL[],2,0),"--")</f>
        <v>57</v>
      </c>
      <c r="G32" s="175">
        <f>IFERROR(VLOOKUP(MID(B32,4,3),MMWR_TRAD_AGG_NATIONAL[],3,0),"--")</f>
        <v>55</v>
      </c>
      <c r="H32" s="176">
        <f t="shared" si="0"/>
        <v>0.96491228070175439</v>
      </c>
      <c r="I32" s="57"/>
      <c r="J32" s="57"/>
      <c r="K32" s="57"/>
      <c r="L32" s="57"/>
      <c r="M32" s="57"/>
      <c r="N32" s="57"/>
      <c r="O32" s="57"/>
      <c r="P32" s="57"/>
      <c r="Q32" s="57"/>
      <c r="R32" s="57"/>
      <c r="S32" s="57"/>
      <c r="T32" s="57"/>
      <c r="U32" s="75"/>
      <c r="V32" s="25"/>
    </row>
    <row r="33" spans="1:22" s="1" customFormat="1" ht="32.25" customHeight="1" x14ac:dyDescent="0.4">
      <c r="A33" s="25"/>
      <c r="B33" s="283" t="s">
        <v>291</v>
      </c>
      <c r="C33" s="284"/>
      <c r="D33" s="284"/>
      <c r="E33" s="392"/>
      <c r="F33" s="174">
        <f>IFERROR(VLOOKUP(MID(B33,4,3),MMWR_TRAD_AGG_NATIONAL[],2,0),"--")</f>
        <v>701</v>
      </c>
      <c r="G33" s="175">
        <f>IFERROR(VLOOKUP(MID(B33,4,3),MMWR_TRAD_AGG_NATIONAL[],3,0),"--")</f>
        <v>624</v>
      </c>
      <c r="H33" s="176">
        <f t="shared" si="0"/>
        <v>0.89015691868758917</v>
      </c>
      <c r="I33" s="57"/>
      <c r="J33" s="57"/>
      <c r="K33" s="57"/>
      <c r="L33" s="28"/>
      <c r="M33" s="28"/>
      <c r="N33" s="28"/>
      <c r="O33" s="28"/>
      <c r="P33" s="28"/>
      <c r="Q33" s="28"/>
      <c r="R33" s="57"/>
      <c r="S33" s="57"/>
      <c r="T33" s="57"/>
      <c r="U33" s="75"/>
      <c r="V33" s="25"/>
    </row>
    <row r="34" spans="1:22" s="1" customFormat="1" ht="32.25" customHeight="1" x14ac:dyDescent="0.4">
      <c r="A34" s="25"/>
      <c r="B34" s="283" t="s">
        <v>292</v>
      </c>
      <c r="C34" s="284"/>
      <c r="D34" s="284"/>
      <c r="E34" s="392"/>
      <c r="F34" s="174">
        <f>IFERROR(VLOOKUP(MID(B34,4,3),MMWR_TRAD_AGG_NATIONAL[],2,0),"--")</f>
        <v>1445</v>
      </c>
      <c r="G34" s="175">
        <f>IFERROR(VLOOKUP(MID(B34,4,3),MMWR_TRAD_AGG_NATIONAL[],3,0),"--")</f>
        <v>339</v>
      </c>
      <c r="H34" s="176">
        <f t="shared" si="0"/>
        <v>0.23460207612456746</v>
      </c>
      <c r="I34" s="57"/>
      <c r="J34" s="57"/>
      <c r="K34" s="57"/>
      <c r="L34" s="28"/>
      <c r="M34" s="28"/>
      <c r="N34" s="28"/>
      <c r="O34" s="28"/>
      <c r="P34" s="28"/>
      <c r="Q34" s="28"/>
      <c r="R34" s="57"/>
      <c r="S34" s="57"/>
      <c r="T34" s="57"/>
      <c r="U34" s="75"/>
      <c r="V34" s="25"/>
    </row>
    <row r="35" spans="1:22" s="1" customFormat="1" ht="32.25" customHeight="1" x14ac:dyDescent="0.4">
      <c r="A35" s="25"/>
      <c r="B35" s="283" t="s">
        <v>293</v>
      </c>
      <c r="C35" s="284"/>
      <c r="D35" s="284"/>
      <c r="E35" s="392"/>
      <c r="F35" s="174">
        <f>IFERROR(VLOOKUP(MID(B35,4,3),MMWR_TRAD_AGG_NATIONAL[],2,0),"--")</f>
        <v>193</v>
      </c>
      <c r="G35" s="175">
        <f>IFERROR(VLOOKUP(MID(B35,4,3),MMWR_TRAD_AGG_NATIONAL[],3,0),"--")</f>
        <v>191</v>
      </c>
      <c r="H35" s="176">
        <f t="shared" si="0"/>
        <v>0.98963730569948183</v>
      </c>
      <c r="I35" s="57"/>
      <c r="J35" s="57"/>
      <c r="K35" s="57"/>
      <c r="L35" s="57"/>
      <c r="M35" s="57"/>
      <c r="N35" s="57"/>
      <c r="O35" s="57"/>
      <c r="P35" s="57"/>
      <c r="Q35" s="57"/>
      <c r="R35" s="57"/>
      <c r="S35" s="57"/>
      <c r="T35" s="57"/>
      <c r="U35" s="75"/>
      <c r="V35" s="25"/>
    </row>
    <row r="36" spans="1:22" s="1" customFormat="1" ht="32.25" customHeight="1" x14ac:dyDescent="0.4">
      <c r="A36" s="25"/>
      <c r="B36" s="283" t="s">
        <v>294</v>
      </c>
      <c r="C36" s="284"/>
      <c r="D36" s="284"/>
      <c r="E36" s="392"/>
      <c r="F36" s="174">
        <f>IFERROR(VLOOKUP(MID(B36,4,3),MMWR_TRAD_AGG_NATIONAL[],2,0),"--")</f>
        <v>16630</v>
      </c>
      <c r="G36" s="175">
        <f>IFERROR(VLOOKUP(MID(B36,4,3),MMWR_TRAD_AGG_NATIONAL[],3,0),"--")</f>
        <v>12667</v>
      </c>
      <c r="H36" s="176">
        <f t="shared" si="0"/>
        <v>0.76169573060733609</v>
      </c>
      <c r="I36" s="57"/>
      <c r="J36" s="57"/>
      <c r="K36" s="57"/>
      <c r="L36" s="57"/>
      <c r="M36" s="57"/>
      <c r="N36" s="57"/>
      <c r="O36" s="57"/>
      <c r="P36" s="57"/>
      <c r="Q36" s="57"/>
      <c r="R36" s="57"/>
      <c r="S36" s="57"/>
      <c r="T36" s="57"/>
      <c r="U36" s="75"/>
      <c r="V36" s="25"/>
    </row>
    <row r="37" spans="1:22" s="1" customFormat="1" ht="27" customHeight="1" thickBot="1" x14ac:dyDescent="0.45">
      <c r="A37" s="25"/>
      <c r="B37" s="283" t="s">
        <v>295</v>
      </c>
      <c r="C37" s="284"/>
      <c r="D37" s="284"/>
      <c r="E37" s="392"/>
      <c r="F37" s="174">
        <f>IFERROR(VLOOKUP(MID(B37,4,3)&amp;"G",MMWR_TRAD_AGG_NATIONAL[],2,0),"--")</f>
        <v>53484</v>
      </c>
      <c r="G37" s="175">
        <f>IFERROR(VLOOKUP(MID(B37,4,3)&amp;"G",MMWR_TRAD_AGG_NATIONAL[],3,0),"--")</f>
        <v>44894</v>
      </c>
      <c r="H37" s="176">
        <f t="shared" si="0"/>
        <v>0.83939121980405351</v>
      </c>
      <c r="I37" s="57"/>
      <c r="J37" s="57"/>
      <c r="K37" s="57"/>
      <c r="L37" s="57"/>
      <c r="M37" s="57"/>
      <c r="N37" s="57"/>
      <c r="O37" s="57"/>
      <c r="P37" s="57"/>
      <c r="Q37" s="57"/>
      <c r="R37" s="57"/>
      <c r="S37" s="57"/>
      <c r="T37" s="57"/>
      <c r="U37" s="75"/>
      <c r="V37" s="25"/>
    </row>
    <row r="38" spans="1:22" s="1" customFormat="1" ht="32.25" customHeight="1" thickBot="1" x14ac:dyDescent="0.45">
      <c r="A38" s="25"/>
      <c r="B38" s="389" t="s">
        <v>246</v>
      </c>
      <c r="C38" s="390"/>
      <c r="D38" s="390"/>
      <c r="E38" s="390"/>
      <c r="F38" s="171">
        <f>SUM(F39:F44)</f>
        <v>159419</v>
      </c>
      <c r="G38" s="172">
        <f>SUM(G39:G44)</f>
        <v>110707</v>
      </c>
      <c r="H38" s="173">
        <f t="shared" si="0"/>
        <v>0.69444043683626167</v>
      </c>
      <c r="I38" s="57"/>
      <c r="J38" s="57"/>
      <c r="K38" s="76"/>
      <c r="L38" s="76"/>
      <c r="M38" s="76"/>
      <c r="N38" s="76"/>
      <c r="O38" s="76"/>
      <c r="P38" s="57"/>
      <c r="Q38" s="57"/>
      <c r="R38" s="57"/>
      <c r="S38" s="57"/>
      <c r="T38" s="57"/>
      <c r="U38" s="75"/>
      <c r="V38" s="25"/>
    </row>
    <row r="39" spans="1:22" s="1" customFormat="1" ht="26.25" customHeight="1" x14ac:dyDescent="0.4">
      <c r="A39" s="25"/>
      <c r="B39" s="394" t="s">
        <v>296</v>
      </c>
      <c r="C39" s="395"/>
      <c r="D39" s="395"/>
      <c r="E39" s="396"/>
      <c r="F39" s="177">
        <f>IFERROR(VLOOKUP(MID(B39,4,3),MMWR_TRAD_AGG_NATIONAL[],2,0),"--")</f>
        <v>6130</v>
      </c>
      <c r="G39" s="178">
        <f>IFERROR(VLOOKUP(MID(B39,4,3),MMWR_TRAD_AGG_NATIONAL[],3,0),"--")</f>
        <v>4603</v>
      </c>
      <c r="H39" s="179">
        <f t="shared" si="0"/>
        <v>0.75089722675367043</v>
      </c>
      <c r="I39" s="57"/>
      <c r="J39" s="57"/>
      <c r="K39" s="76"/>
      <c r="L39" s="76"/>
      <c r="M39" s="76"/>
      <c r="N39" s="76"/>
      <c r="O39" s="76"/>
      <c r="P39" s="57"/>
      <c r="Q39" s="57"/>
      <c r="R39" s="57"/>
      <c r="S39" s="57"/>
      <c r="T39" s="57"/>
      <c r="U39" s="75"/>
      <c r="V39" s="25"/>
    </row>
    <row r="40" spans="1:22" s="1" customFormat="1" ht="26.25" customHeight="1" x14ac:dyDescent="0.4">
      <c r="A40" s="25"/>
      <c r="B40" s="283" t="s">
        <v>297</v>
      </c>
      <c r="C40" s="284"/>
      <c r="D40" s="284"/>
      <c r="E40" s="392"/>
      <c r="F40" s="174">
        <f>IFERROR(VLOOKUP(MID(B40,4,3),MMWR_TRAD_AGG_NATIONAL[],2,0),"--")</f>
        <v>100923</v>
      </c>
      <c r="G40" s="175">
        <f>IFERROR(VLOOKUP(MID(B40,4,3),MMWR_TRAD_AGG_NATIONAL[],3,0),"--")</f>
        <v>72454</v>
      </c>
      <c r="H40" s="176">
        <f t="shared" si="0"/>
        <v>0.71791365694638487</v>
      </c>
      <c r="I40" s="57"/>
      <c r="J40" s="57"/>
      <c r="K40" s="57"/>
      <c r="L40" s="57"/>
      <c r="M40" s="57"/>
      <c r="N40" s="57"/>
      <c r="O40" s="57"/>
      <c r="P40" s="57"/>
      <c r="Q40" s="57"/>
      <c r="R40" s="57"/>
      <c r="S40" s="57"/>
      <c r="T40" s="57"/>
      <c r="U40" s="75"/>
      <c r="V40" s="25"/>
    </row>
    <row r="41" spans="1:22" s="1" customFormat="1" ht="26.25" customHeight="1" x14ac:dyDescent="0.4">
      <c r="A41" s="25"/>
      <c r="B41" s="283" t="s">
        <v>298</v>
      </c>
      <c r="C41" s="284"/>
      <c r="D41" s="284"/>
      <c r="E41" s="392"/>
      <c r="F41" s="174">
        <f>IFERROR(VLOOKUP(MID(B41,4,3),MMWR_TRAD_AGG_NATIONAL[],2,0),"--")</f>
        <v>1338</v>
      </c>
      <c r="G41" s="175">
        <f>IFERROR(VLOOKUP(MID(B41,4,3),MMWR_TRAD_AGG_NATIONAL[],3,0),"--")</f>
        <v>339</v>
      </c>
      <c r="H41" s="176">
        <f t="shared" si="0"/>
        <v>0.25336322869955158</v>
      </c>
      <c r="I41" s="57"/>
      <c r="J41" s="57"/>
      <c r="K41" s="57"/>
      <c r="L41" s="57"/>
      <c r="M41" s="57"/>
      <c r="N41" s="57"/>
      <c r="O41" s="57"/>
      <c r="P41" s="57"/>
      <c r="Q41" s="57"/>
      <c r="R41" s="57"/>
      <c r="S41" s="57"/>
      <c r="T41" s="57"/>
      <c r="U41" s="75"/>
      <c r="V41" s="25"/>
    </row>
    <row r="42" spans="1:22" s="1" customFormat="1" ht="36" customHeight="1" x14ac:dyDescent="0.4">
      <c r="A42" s="25"/>
      <c r="B42" s="283" t="s">
        <v>299</v>
      </c>
      <c r="C42" s="284"/>
      <c r="D42" s="284"/>
      <c r="E42" s="392"/>
      <c r="F42" s="174">
        <f>IFERROR(VLOOKUP(MID(B42,4,3),MMWR_TRAD_AGG_NATIONAL[],2,0),"--")</f>
        <v>25995</v>
      </c>
      <c r="G42" s="175">
        <f>IFERROR(VLOOKUP(MID(B42,4,3),MMWR_TRAD_AGG_NATIONAL[],3,0),"--")</f>
        <v>11626</v>
      </c>
      <c r="H42" s="176">
        <f t="shared" si="0"/>
        <v>0.44723985381804193</v>
      </c>
      <c r="I42" s="57"/>
      <c r="J42" s="57"/>
      <c r="K42" s="57"/>
      <c r="L42" s="57"/>
      <c r="M42" s="57"/>
      <c r="N42" s="57"/>
      <c r="O42" s="57"/>
      <c r="P42" s="57"/>
      <c r="Q42" s="57"/>
      <c r="R42" s="57"/>
      <c r="S42" s="57"/>
      <c r="T42" s="57"/>
      <c r="U42" s="75"/>
      <c r="V42" s="25"/>
    </row>
    <row r="43" spans="1:22" s="1" customFormat="1" ht="33" customHeight="1" x14ac:dyDescent="0.4">
      <c r="A43" s="25"/>
      <c r="B43" s="283" t="s">
        <v>300</v>
      </c>
      <c r="C43" s="284"/>
      <c r="D43" s="284"/>
      <c r="E43" s="392"/>
      <c r="F43" s="174">
        <f>IFERROR(VLOOKUP(MID(B43,4,3),MMWR_TRAD_AGG_NATIONAL[],2,0),"--")</f>
        <v>24482</v>
      </c>
      <c r="G43" s="175">
        <f>IFERROR(VLOOKUP(MID(B43,4,3),MMWR_TRAD_AGG_NATIONAL[],3,0),"--")</f>
        <v>21195</v>
      </c>
      <c r="H43" s="176">
        <f t="shared" si="0"/>
        <v>0.86573809329303164</v>
      </c>
      <c r="I43" s="57"/>
      <c r="J43" s="57"/>
      <c r="K43" s="57"/>
      <c r="L43" s="57"/>
      <c r="M43" s="57"/>
      <c r="N43" s="57"/>
      <c r="O43" s="57"/>
      <c r="P43" s="57"/>
      <c r="Q43" s="57"/>
      <c r="R43" s="57"/>
      <c r="S43" s="57"/>
      <c r="T43" s="57"/>
      <c r="U43" s="75"/>
      <c r="V43" s="25"/>
    </row>
    <row r="44" spans="1:22" s="1" customFormat="1" ht="27" customHeight="1" thickBot="1" x14ac:dyDescent="0.45">
      <c r="A44" s="25"/>
      <c r="B44" s="288" t="s">
        <v>301</v>
      </c>
      <c r="C44" s="289"/>
      <c r="D44" s="289"/>
      <c r="E44" s="393"/>
      <c r="F44" s="180">
        <f>IFERROR(VLOOKUP(MID(B44,4,3),MMWR_TRAD_AGG_NATIONAL[],2,0),"--")</f>
        <v>551</v>
      </c>
      <c r="G44" s="181">
        <f>IFERROR(VLOOKUP(MID(B44,4,3),MMWR_TRAD_AGG_NATIONAL[],3,0),"--")</f>
        <v>490</v>
      </c>
      <c r="H44" s="182">
        <f t="shared" si="0"/>
        <v>0.88929219600725951</v>
      </c>
      <c r="I44" s="78"/>
      <c r="J44" s="78"/>
      <c r="K44" s="78"/>
      <c r="L44" s="78"/>
      <c r="M44" s="78"/>
      <c r="N44" s="78"/>
      <c r="O44" s="78"/>
      <c r="P44" s="78"/>
      <c r="Q44" s="78"/>
      <c r="R44" s="78"/>
      <c r="S44" s="78"/>
      <c r="T44" s="78"/>
      <c r="U44" s="79"/>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A3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14:E14"/>
    <mergeCell ref="B15:E15"/>
    <mergeCell ref="J12:K12"/>
    <mergeCell ref="B44:E44"/>
    <mergeCell ref="B42:E42"/>
    <mergeCell ref="B43:E43"/>
    <mergeCell ref="B36:E36"/>
    <mergeCell ref="B41:E41"/>
    <mergeCell ref="B38:E38"/>
    <mergeCell ref="B39:E39"/>
    <mergeCell ref="B37:E37"/>
    <mergeCell ref="B40:E40"/>
    <mergeCell ref="J21:K21"/>
    <mergeCell ref="B24:E24"/>
    <mergeCell ref="B25:E25"/>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sqref="A1:P1"/>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5"/>
    </row>
    <row r="2" spans="1:20" ht="26.25" x14ac:dyDescent="0.4">
      <c r="A2" s="25"/>
      <c r="B2" s="26"/>
      <c r="C2" s="446" t="str">
        <f>UPPER("INVENTORY BY REGIONAL OFFICE "&amp;Transformation!B4)</f>
        <v>INVENTORY BY REGIONAL OFFICE AS OF: JUNE 20, 2015</v>
      </c>
      <c r="D2" s="447"/>
      <c r="E2" s="447"/>
      <c r="F2" s="447"/>
      <c r="G2" s="447"/>
      <c r="H2" s="447"/>
      <c r="I2" s="447"/>
      <c r="J2" s="447"/>
      <c r="K2" s="447"/>
      <c r="L2" s="447"/>
      <c r="M2" s="447"/>
      <c r="N2" s="447"/>
      <c r="O2" s="447"/>
      <c r="P2" s="447"/>
      <c r="Q2" s="447"/>
      <c r="R2" s="447"/>
      <c r="S2" s="448"/>
      <c r="T2" s="25"/>
    </row>
    <row r="3" spans="1:20" x14ac:dyDescent="0.2">
      <c r="A3" s="25"/>
      <c r="B3" s="26"/>
      <c r="C3" s="449" t="s">
        <v>233</v>
      </c>
      <c r="D3" s="450"/>
      <c r="E3" s="451" t="s">
        <v>213</v>
      </c>
      <c r="F3" s="452"/>
      <c r="G3" s="453"/>
      <c r="H3" s="451" t="s">
        <v>7</v>
      </c>
      <c r="I3" s="452"/>
      <c r="J3" s="453"/>
      <c r="K3" s="451" t="s">
        <v>33</v>
      </c>
      <c r="L3" s="452"/>
      <c r="M3" s="453"/>
      <c r="N3" s="451" t="s">
        <v>8</v>
      </c>
      <c r="O3" s="452"/>
      <c r="P3" s="453"/>
      <c r="Q3" s="82" t="s">
        <v>9</v>
      </c>
      <c r="R3" s="83" t="s">
        <v>10</v>
      </c>
      <c r="S3" s="83" t="s">
        <v>11</v>
      </c>
      <c r="T3" s="25"/>
    </row>
    <row r="4" spans="1:20"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1" t="s">
        <v>498</v>
      </c>
      <c r="T4" s="92"/>
    </row>
    <row r="5" spans="1:20" ht="26.25" x14ac:dyDescent="0.4">
      <c r="A5" s="25"/>
      <c r="B5" s="26"/>
      <c r="C5" s="446" t="s">
        <v>496</v>
      </c>
      <c r="D5" s="447"/>
      <c r="E5" s="447"/>
      <c r="F5" s="447"/>
      <c r="G5" s="447"/>
      <c r="H5" s="447"/>
      <c r="I5" s="447"/>
      <c r="J5" s="447"/>
      <c r="K5" s="447"/>
      <c r="L5" s="447"/>
      <c r="M5" s="447"/>
      <c r="N5" s="447"/>
      <c r="O5" s="447"/>
      <c r="P5" s="447"/>
      <c r="Q5" s="447"/>
      <c r="R5" s="447"/>
      <c r="S5" s="448"/>
      <c r="T5" s="25"/>
    </row>
    <row r="6" spans="1:20" x14ac:dyDescent="0.2">
      <c r="A6" s="93"/>
      <c r="B6" s="94" t="s">
        <v>471</v>
      </c>
      <c r="C6" s="213">
        <f>IFERROR(VLOOKUP($B6,MMWR_TRAD_AGG_DISTRICT_COMP[],C$1,0),"ERROR")</f>
        <v>361890</v>
      </c>
      <c r="D6" s="191">
        <f>IFERROR(VLOOKUP($B6,MMWR_TRAD_AGG_DISTRICT_COMP[],D$1,0),"ERROR")</f>
        <v>358.84367901849998</v>
      </c>
      <c r="E6" s="199">
        <f>IFERROR(VLOOKUP($B6,MMWR_TRAD_AGG_DISTRICT_COMP[],E$1,0),"ERROR")</f>
        <v>370253</v>
      </c>
      <c r="F6" s="193">
        <f>IFERROR(VLOOKUP($B6,MMWR_TRAD_AGG_DISTRICT_COMP[],F$1,0),"ERROR")</f>
        <v>129379</v>
      </c>
      <c r="G6" s="216">
        <f t="shared" ref="G6:G69" si="0">IFERROR(F6/E6,"0%")</f>
        <v>0.3494340356458962</v>
      </c>
      <c r="H6" s="192">
        <f>IFERROR(VLOOKUP($B6,MMWR_TRAD_AGG_DISTRICT_COMP[],H$1,0),"ERROR")</f>
        <v>492886</v>
      </c>
      <c r="I6" s="193">
        <f>IFERROR(VLOOKUP($B6,MMWR_TRAD_AGG_DISTRICT_COMP[],I$1,0),"ERROR")</f>
        <v>314646</v>
      </c>
      <c r="J6" s="216">
        <f t="shared" ref="J6:J69" si="1">IFERROR(I6/H6,"0%")</f>
        <v>0.63837479660611174</v>
      </c>
      <c r="K6" s="192">
        <f>IFERROR(VLOOKUP($B6,MMWR_TRAD_AGG_DISTRICT_COMP[],K$1,0),"ERROR")</f>
        <v>72565</v>
      </c>
      <c r="L6" s="193">
        <f>IFERROR(VLOOKUP($B6,MMWR_TRAD_AGG_DISTRICT_COMP[],L$1,0),"ERROR")</f>
        <v>58825</v>
      </c>
      <c r="M6" s="216">
        <f t="shared" ref="M6:M69" si="2">IFERROR(L6/K6,"0%")</f>
        <v>0.81065251843175079</v>
      </c>
      <c r="N6" s="192">
        <f>IFERROR(VLOOKUP($B6,MMWR_TRAD_AGG_DISTRICT_COMP[],N$1,0),"ERROR")</f>
        <v>159419</v>
      </c>
      <c r="O6" s="193">
        <f>IFERROR(VLOOKUP($B6,MMWR_TRAD_AGG_DISTRICT_COMP[],O$1,0),"ERROR")</f>
        <v>110707</v>
      </c>
      <c r="P6" s="216">
        <f t="shared" ref="P6:P69" si="3">IFERROR(O6/N6,"0%")</f>
        <v>0.69444043683626167</v>
      </c>
      <c r="Q6" s="205">
        <f>IFERROR(VLOOKUP($B6,MMWR_TRAD_AGG_DISTRICT_COMP[],Q$1,0),"ERROR")</f>
        <v>7253</v>
      </c>
      <c r="R6" s="205">
        <f>IFERROR(VLOOKUP($B6,MMWR_TRAD_AGG_DISTRICT_COMP[],R$1,0),"ERROR")</f>
        <v>4359</v>
      </c>
      <c r="S6" s="208">
        <f>S7+S25+S38+S49+S62+S70</f>
        <v>300630</v>
      </c>
      <c r="T6" s="25"/>
    </row>
    <row r="7" spans="1:20" x14ac:dyDescent="0.2">
      <c r="A7" s="93"/>
      <c r="B7" s="102" t="s">
        <v>379</v>
      </c>
      <c r="C7" s="217">
        <f>IFERROR(VLOOKUP($B7,MMWR_TRAD_AGG_DISTRICT_COMP[],C$1,0),"ERROR")</f>
        <v>114121</v>
      </c>
      <c r="D7" s="202">
        <f>IFERROR(VLOOKUP($B7,MMWR_TRAD_AGG_DISTRICT_COMP[],D$1,0),"ERROR")</f>
        <v>388.71110487990001</v>
      </c>
      <c r="E7" s="218">
        <f>IFERROR(VLOOKUP($B7,MMWR_TRAD_AGG_DISTRICT_COMP[],E$1,0),"ERROR")</f>
        <v>85424</v>
      </c>
      <c r="F7" s="217">
        <f>IFERROR(VLOOKUP($B7,MMWR_TRAD_AGG_DISTRICT_COMP[],F$1,0),"ERROR")</f>
        <v>30536</v>
      </c>
      <c r="G7" s="219">
        <f t="shared" si="0"/>
        <v>0.35746394455890618</v>
      </c>
      <c r="H7" s="217">
        <f>IFERROR(VLOOKUP($B7,MMWR_TRAD_AGG_DISTRICT_COMP[],H$1,0),"ERROR")</f>
        <v>141323</v>
      </c>
      <c r="I7" s="217">
        <f>IFERROR(VLOOKUP($B7,MMWR_TRAD_AGG_DISTRICT_COMP[],I$1,0),"ERROR")</f>
        <v>101541</v>
      </c>
      <c r="J7" s="219">
        <f t="shared" si="1"/>
        <v>0.71850300375735021</v>
      </c>
      <c r="K7" s="217">
        <f>IFERROR(VLOOKUP($B7,MMWR_TRAD_AGG_DISTRICT_COMP[],K$1,0),"ERROR")</f>
        <v>16562</v>
      </c>
      <c r="L7" s="217">
        <f>IFERROR(VLOOKUP($B7,MMWR_TRAD_AGG_DISTRICT_COMP[],L$1,0),"ERROR")</f>
        <v>12713</v>
      </c>
      <c r="M7" s="219">
        <f t="shared" si="2"/>
        <v>0.76760053133679507</v>
      </c>
      <c r="N7" s="217">
        <f>IFERROR(VLOOKUP($B7,MMWR_TRAD_AGG_DISTRICT_COMP[],N$1,0),"ERROR")</f>
        <v>34180</v>
      </c>
      <c r="O7" s="217">
        <f>IFERROR(VLOOKUP($B7,MMWR_TRAD_AGG_DISTRICT_COMP[],O$1,0),"ERROR")</f>
        <v>25529</v>
      </c>
      <c r="P7" s="219">
        <f t="shared" si="3"/>
        <v>0.7468987712112346</v>
      </c>
      <c r="Q7" s="217">
        <f>IFERROR(VLOOKUP($B7,MMWR_TRAD_AGG_DISTRICT_COMP[],Q$1,0),"ERROR")</f>
        <v>6424</v>
      </c>
      <c r="R7" s="220">
        <f>IFERROR(VLOOKUP($B7,MMWR_TRAD_AGG_DISTRICT_COMP[],R$1,0),"ERROR")</f>
        <v>101</v>
      </c>
      <c r="S7" s="220">
        <f>IFERROR(VLOOKUP($B7,MMWR_APP_RO[],S$1,0),"ERROR")</f>
        <v>52779</v>
      </c>
      <c r="T7" s="25"/>
    </row>
    <row r="8" spans="1:20" x14ac:dyDescent="0.2">
      <c r="A8" s="108"/>
      <c r="B8" s="109" t="s">
        <v>36</v>
      </c>
      <c r="C8" s="214">
        <f>IFERROR(VLOOKUP($B8,MMWR_TRAD_AGG_RO_COMP[],C$1,0),"ERROR")</f>
        <v>6022</v>
      </c>
      <c r="D8" s="203">
        <f>IFERROR(VLOOKUP($B8,MMWR_TRAD_AGG_RO_COMP[],D$1,0),"ERROR")</f>
        <v>562.84108269679996</v>
      </c>
      <c r="E8" s="200">
        <f>IFERROR(VLOOKUP($B8,MMWR_TRAD_AGG_RO_COMP[],E$1,0),"ERROR")</f>
        <v>6208</v>
      </c>
      <c r="F8" s="196">
        <f>IFERROR(VLOOKUP($B8,MMWR_TRAD_AGG_RO_COMP[],F$1,0),"ERROR")</f>
        <v>2660</v>
      </c>
      <c r="G8" s="221">
        <f t="shared" si="0"/>
        <v>0.42847938144329895</v>
      </c>
      <c r="H8" s="195">
        <f>IFERROR(VLOOKUP($B8,MMWR_TRAD_AGG_RO_COMP[],H$1,0),"ERROR")</f>
        <v>7464</v>
      </c>
      <c r="I8" s="196">
        <f>IFERROR(VLOOKUP($B8,MMWR_TRAD_AGG_RO_COMP[],I$1,0),"ERROR")</f>
        <v>5775</v>
      </c>
      <c r="J8" s="221">
        <f t="shared" si="1"/>
        <v>0.7737138263665595</v>
      </c>
      <c r="K8" s="209">
        <f>IFERROR(VLOOKUP($B8,MMWR_TRAD_AGG_RO_COMP[],K$1,0),"ERROR")</f>
        <v>963</v>
      </c>
      <c r="L8" s="210">
        <f>IFERROR(VLOOKUP($B8,MMWR_TRAD_AGG_RO_COMP[],L$1,0),"ERROR")</f>
        <v>869</v>
      </c>
      <c r="M8" s="221">
        <f t="shared" si="2"/>
        <v>0.90238836967808933</v>
      </c>
      <c r="N8" s="209">
        <f>IFERROR(VLOOKUP($B8,MMWR_TRAD_AGG_RO_COMP[],N$1,0),"ERROR")</f>
        <v>6017</v>
      </c>
      <c r="O8" s="210">
        <f>IFERROR(VLOOKUP($B8,MMWR_TRAD_AGG_RO_COMP[],O$1,0),"ERROR")</f>
        <v>5319</v>
      </c>
      <c r="P8" s="221">
        <f t="shared" si="3"/>
        <v>0.88399534651819844</v>
      </c>
      <c r="Q8" s="206">
        <f>IFERROR(VLOOKUP($B8,MMWR_TRAD_AGG_RO_COMP[],Q$1,0),"ERROR")</f>
        <v>31</v>
      </c>
      <c r="R8" s="206">
        <f>IFERROR(VLOOKUP($B8,MMWR_TRAD_AGG_RO_COMP[],R$1,0),"ERROR")</f>
        <v>6</v>
      </c>
      <c r="S8" s="206">
        <f>IFERROR(VLOOKUP($B8,MMWR_APP_RO[],S$1,0),"ERROR")</f>
        <v>5380</v>
      </c>
      <c r="T8" s="25"/>
    </row>
    <row r="9" spans="1:20" x14ac:dyDescent="0.2">
      <c r="A9" s="108"/>
      <c r="B9" s="109" t="s">
        <v>38</v>
      </c>
      <c r="C9" s="214">
        <f>IFERROR(VLOOKUP($B9,MMWR_TRAD_AGG_RO_COMP[],C$1,0),"ERROR")</f>
        <v>5307</v>
      </c>
      <c r="D9" s="203">
        <f>IFERROR(VLOOKUP($B9,MMWR_TRAD_AGG_RO_COMP[],D$1,0),"ERROR")</f>
        <v>457.41869229320002</v>
      </c>
      <c r="E9" s="200">
        <f>IFERROR(VLOOKUP($B9,MMWR_TRAD_AGG_RO_COMP[],E$1,0),"ERROR")</f>
        <v>3742</v>
      </c>
      <c r="F9" s="196">
        <f>IFERROR(VLOOKUP($B9,MMWR_TRAD_AGG_RO_COMP[],F$1,0),"ERROR")</f>
        <v>1337</v>
      </c>
      <c r="G9" s="221">
        <f t="shared" si="0"/>
        <v>0.35729556386958844</v>
      </c>
      <c r="H9" s="195">
        <f>IFERROR(VLOOKUP($B9,MMWR_TRAD_AGG_RO_COMP[],H$1,0),"ERROR")</f>
        <v>6811</v>
      </c>
      <c r="I9" s="196">
        <f>IFERROR(VLOOKUP($B9,MMWR_TRAD_AGG_RO_COMP[],I$1,0),"ERROR")</f>
        <v>4706</v>
      </c>
      <c r="J9" s="221">
        <f t="shared" si="1"/>
        <v>0.69094112465129942</v>
      </c>
      <c r="K9" s="209">
        <f>IFERROR(VLOOKUP($B9,MMWR_TRAD_AGG_RO_COMP[],K$1,0),"ERROR")</f>
        <v>2104</v>
      </c>
      <c r="L9" s="210">
        <f>IFERROR(VLOOKUP($B9,MMWR_TRAD_AGG_RO_COMP[],L$1,0),"ERROR")</f>
        <v>1924</v>
      </c>
      <c r="M9" s="221">
        <f t="shared" si="2"/>
        <v>0.9144486692015209</v>
      </c>
      <c r="N9" s="209">
        <f>IFERROR(VLOOKUP($B9,MMWR_TRAD_AGG_RO_COMP[],N$1,0),"ERROR")</f>
        <v>862</v>
      </c>
      <c r="O9" s="210">
        <f>IFERROR(VLOOKUP($B9,MMWR_TRAD_AGG_RO_COMP[],O$1,0),"ERROR")</f>
        <v>748</v>
      </c>
      <c r="P9" s="221">
        <f t="shared" si="3"/>
        <v>0.86774941995359633</v>
      </c>
      <c r="Q9" s="206">
        <f>IFERROR(VLOOKUP($B9,MMWR_TRAD_AGG_RO_COMP[],Q$1,0),"ERROR")</f>
        <v>2</v>
      </c>
      <c r="R9" s="206">
        <f>IFERROR(VLOOKUP($B9,MMWR_TRAD_AGG_RO_COMP[],R$1,0),"ERROR")</f>
        <v>9</v>
      </c>
      <c r="S9" s="206">
        <f>IFERROR(VLOOKUP($B9,MMWR_APP_RO[],S$1,0),"ERROR")</f>
        <v>3530</v>
      </c>
      <c r="T9" s="25"/>
    </row>
    <row r="10" spans="1:20" x14ac:dyDescent="0.2">
      <c r="A10" s="108"/>
      <c r="B10" s="109" t="s">
        <v>24</v>
      </c>
      <c r="C10" s="214">
        <f>IFERROR(VLOOKUP($B10,MMWR_TRAD_AGG_RO_COMP[],C$1,0),"ERROR")</f>
        <v>1100</v>
      </c>
      <c r="D10" s="203">
        <f>IFERROR(VLOOKUP($B10,MMWR_TRAD_AGG_RO_COMP[],D$1,0),"ERROR")</f>
        <v>118.9281818182</v>
      </c>
      <c r="E10" s="200">
        <f>IFERROR(VLOOKUP($B10,MMWR_TRAD_AGG_RO_COMP[],E$1,0),"ERROR")</f>
        <v>4711</v>
      </c>
      <c r="F10" s="196">
        <f>IFERROR(VLOOKUP($B10,MMWR_TRAD_AGG_RO_COMP[],F$1,0),"ERROR")</f>
        <v>1730</v>
      </c>
      <c r="G10" s="221">
        <f t="shared" si="0"/>
        <v>0.36722564211420083</v>
      </c>
      <c r="H10" s="195">
        <f>IFERROR(VLOOKUP($B10,MMWR_TRAD_AGG_RO_COMP[],H$1,0),"ERROR")</f>
        <v>2101</v>
      </c>
      <c r="I10" s="196">
        <f>IFERROR(VLOOKUP($B10,MMWR_TRAD_AGG_RO_COMP[],I$1,0),"ERROR")</f>
        <v>544</v>
      </c>
      <c r="J10" s="221">
        <f t="shared" si="1"/>
        <v>0.25892432175154689</v>
      </c>
      <c r="K10" s="209">
        <f>IFERROR(VLOOKUP($B10,MMWR_TRAD_AGG_RO_COMP[],K$1,0),"ERROR")</f>
        <v>116</v>
      </c>
      <c r="L10" s="210">
        <f>IFERROR(VLOOKUP($B10,MMWR_TRAD_AGG_RO_COMP[],L$1,0),"ERROR")</f>
        <v>53</v>
      </c>
      <c r="M10" s="221">
        <f t="shared" si="2"/>
        <v>0.45689655172413796</v>
      </c>
      <c r="N10" s="209">
        <f>IFERROR(VLOOKUP($B10,MMWR_TRAD_AGG_RO_COMP[],N$1,0),"ERROR")</f>
        <v>446</v>
      </c>
      <c r="O10" s="210">
        <f>IFERROR(VLOOKUP($B10,MMWR_TRAD_AGG_RO_COMP[],O$1,0),"ERROR")</f>
        <v>332</v>
      </c>
      <c r="P10" s="221">
        <f t="shared" si="3"/>
        <v>0.74439461883408076</v>
      </c>
      <c r="Q10" s="206">
        <f>IFERROR(VLOOKUP($B10,MMWR_TRAD_AGG_RO_COMP[],Q$1,0),"ERROR")</f>
        <v>0</v>
      </c>
      <c r="R10" s="206">
        <f>IFERROR(VLOOKUP($B10,MMWR_TRAD_AGG_RO_COMP[],R$1,0),"ERROR")</f>
        <v>1</v>
      </c>
      <c r="S10" s="206">
        <f>IFERROR(VLOOKUP($B10,MMWR_APP_RO[],S$1,0),"ERROR")</f>
        <v>1705</v>
      </c>
      <c r="T10" s="25"/>
    </row>
    <row r="11" spans="1:20" x14ac:dyDescent="0.2">
      <c r="A11" s="108"/>
      <c r="B11" s="109" t="s">
        <v>47</v>
      </c>
      <c r="C11" s="214">
        <f>IFERROR(VLOOKUP($B11,MMWR_TRAD_AGG_RO_COMP[],C$1,0),"ERROR")</f>
        <v>1343</v>
      </c>
      <c r="D11" s="203">
        <f>IFERROR(VLOOKUP($B11,MMWR_TRAD_AGG_RO_COMP[],D$1,0),"ERROR")</f>
        <v>282.46314221889997</v>
      </c>
      <c r="E11" s="200">
        <f>IFERROR(VLOOKUP($B11,MMWR_TRAD_AGG_RO_COMP[],E$1,0),"ERROR")</f>
        <v>1858</v>
      </c>
      <c r="F11" s="196">
        <f>IFERROR(VLOOKUP($B11,MMWR_TRAD_AGG_RO_COMP[],F$1,0),"ERROR")</f>
        <v>511</v>
      </c>
      <c r="G11" s="221">
        <f t="shared" si="0"/>
        <v>0.27502691065661999</v>
      </c>
      <c r="H11" s="195">
        <f>IFERROR(VLOOKUP($B11,MMWR_TRAD_AGG_RO_COMP[],H$1,0),"ERROR")</f>
        <v>2719</v>
      </c>
      <c r="I11" s="196">
        <f>IFERROR(VLOOKUP($B11,MMWR_TRAD_AGG_RO_COMP[],I$1,0),"ERROR")</f>
        <v>1646</v>
      </c>
      <c r="J11" s="221">
        <f t="shared" si="1"/>
        <v>0.60536962118425897</v>
      </c>
      <c r="K11" s="209">
        <f>IFERROR(VLOOKUP($B11,MMWR_TRAD_AGG_RO_COMP[],K$1,0),"ERROR")</f>
        <v>330</v>
      </c>
      <c r="L11" s="210">
        <f>IFERROR(VLOOKUP($B11,MMWR_TRAD_AGG_RO_COMP[],L$1,0),"ERROR")</f>
        <v>252</v>
      </c>
      <c r="M11" s="221">
        <f t="shared" si="2"/>
        <v>0.76363636363636367</v>
      </c>
      <c r="N11" s="209">
        <f>IFERROR(VLOOKUP($B11,MMWR_TRAD_AGG_RO_COMP[],N$1,0),"ERROR")</f>
        <v>622</v>
      </c>
      <c r="O11" s="210">
        <f>IFERROR(VLOOKUP($B11,MMWR_TRAD_AGG_RO_COMP[],O$1,0),"ERROR")</f>
        <v>483</v>
      </c>
      <c r="P11" s="221">
        <f t="shared" si="3"/>
        <v>0.77652733118971062</v>
      </c>
      <c r="Q11" s="206">
        <f>IFERROR(VLOOKUP($B11,MMWR_TRAD_AGG_RO_COMP[],Q$1,0),"ERROR")</f>
        <v>0</v>
      </c>
      <c r="R11" s="206">
        <f>IFERROR(VLOOKUP($B11,MMWR_TRAD_AGG_RO_COMP[],R$1,0),"ERROR")</f>
        <v>3</v>
      </c>
      <c r="S11" s="206">
        <f>IFERROR(VLOOKUP($B11,MMWR_APP_RO[],S$1,0),"ERROR")</f>
        <v>866</v>
      </c>
      <c r="T11" s="25"/>
    </row>
    <row r="12" spans="1:20" x14ac:dyDescent="0.2">
      <c r="A12" s="108"/>
      <c r="B12" s="109" t="s">
        <v>50</v>
      </c>
      <c r="C12" s="214">
        <f>IFERROR(VLOOKUP($B12,MMWR_TRAD_AGG_RO_COMP[],C$1,0),"ERROR")</f>
        <v>2247</v>
      </c>
      <c r="D12" s="203">
        <f>IFERROR(VLOOKUP($B12,MMWR_TRAD_AGG_RO_COMP[],D$1,0),"ERROR")</f>
        <v>220.1913662661</v>
      </c>
      <c r="E12" s="200">
        <f>IFERROR(VLOOKUP($B12,MMWR_TRAD_AGG_RO_COMP[],E$1,0),"ERROR")</f>
        <v>2642</v>
      </c>
      <c r="F12" s="196">
        <f>IFERROR(VLOOKUP($B12,MMWR_TRAD_AGG_RO_COMP[],F$1,0),"ERROR")</f>
        <v>737</v>
      </c>
      <c r="G12" s="221">
        <f t="shared" si="0"/>
        <v>0.27895533686601059</v>
      </c>
      <c r="H12" s="195">
        <f>IFERROR(VLOOKUP($B12,MMWR_TRAD_AGG_RO_COMP[],H$1,0),"ERROR")</f>
        <v>3350</v>
      </c>
      <c r="I12" s="196">
        <f>IFERROR(VLOOKUP($B12,MMWR_TRAD_AGG_RO_COMP[],I$1,0),"ERROR")</f>
        <v>1820</v>
      </c>
      <c r="J12" s="221">
        <f t="shared" si="1"/>
        <v>0.54328358208955219</v>
      </c>
      <c r="K12" s="209">
        <f>IFERROR(VLOOKUP($B12,MMWR_TRAD_AGG_RO_COMP[],K$1,0),"ERROR")</f>
        <v>254</v>
      </c>
      <c r="L12" s="210">
        <f>IFERROR(VLOOKUP($B12,MMWR_TRAD_AGG_RO_COMP[],L$1,0),"ERROR")</f>
        <v>230</v>
      </c>
      <c r="M12" s="221">
        <f t="shared" si="2"/>
        <v>0.90551181102362199</v>
      </c>
      <c r="N12" s="209">
        <f>IFERROR(VLOOKUP($B12,MMWR_TRAD_AGG_RO_COMP[],N$1,0),"ERROR")</f>
        <v>1089</v>
      </c>
      <c r="O12" s="210">
        <f>IFERROR(VLOOKUP($B12,MMWR_TRAD_AGG_RO_COMP[],O$1,0),"ERROR")</f>
        <v>796</v>
      </c>
      <c r="P12" s="221">
        <f t="shared" si="3"/>
        <v>0.73094582185491275</v>
      </c>
      <c r="Q12" s="206">
        <f>IFERROR(VLOOKUP($B12,MMWR_TRAD_AGG_RO_COMP[],Q$1,0),"ERROR")</f>
        <v>2</v>
      </c>
      <c r="R12" s="206">
        <f>IFERROR(VLOOKUP($B12,MMWR_TRAD_AGG_RO_COMP[],R$1,0),"ERROR")</f>
        <v>17</v>
      </c>
      <c r="S12" s="206">
        <f>IFERROR(VLOOKUP($B12,MMWR_APP_RO[],S$1,0),"ERROR")</f>
        <v>1878</v>
      </c>
      <c r="T12" s="25"/>
    </row>
    <row r="13" spans="1:20" x14ac:dyDescent="0.2">
      <c r="A13" s="108"/>
      <c r="B13" s="109" t="s">
        <v>57</v>
      </c>
      <c r="C13" s="214">
        <f>IFERROR(VLOOKUP($B13,MMWR_TRAD_AGG_RO_COMP[],C$1,0),"ERROR")</f>
        <v>2138</v>
      </c>
      <c r="D13" s="203">
        <f>IFERROR(VLOOKUP($B13,MMWR_TRAD_AGG_RO_COMP[],D$1,0),"ERROR")</f>
        <v>352.26333021520003</v>
      </c>
      <c r="E13" s="200">
        <f>IFERROR(VLOOKUP($B13,MMWR_TRAD_AGG_RO_COMP[],E$1,0),"ERROR")</f>
        <v>1223</v>
      </c>
      <c r="F13" s="196">
        <f>IFERROR(VLOOKUP($B13,MMWR_TRAD_AGG_RO_COMP[],F$1,0),"ERROR")</f>
        <v>321</v>
      </c>
      <c r="G13" s="221">
        <f t="shared" si="0"/>
        <v>0.26246933769419462</v>
      </c>
      <c r="H13" s="195">
        <f>IFERROR(VLOOKUP($B13,MMWR_TRAD_AGG_RO_COMP[],H$1,0),"ERROR")</f>
        <v>2531</v>
      </c>
      <c r="I13" s="196">
        <f>IFERROR(VLOOKUP($B13,MMWR_TRAD_AGG_RO_COMP[],I$1,0),"ERROR")</f>
        <v>1702</v>
      </c>
      <c r="J13" s="221">
        <f t="shared" si="1"/>
        <v>0.67246147767680764</v>
      </c>
      <c r="K13" s="209">
        <f>IFERROR(VLOOKUP($B13,MMWR_TRAD_AGG_RO_COMP[],K$1,0),"ERROR")</f>
        <v>669</v>
      </c>
      <c r="L13" s="210">
        <f>IFERROR(VLOOKUP($B13,MMWR_TRAD_AGG_RO_COMP[],L$1,0),"ERROR")</f>
        <v>657</v>
      </c>
      <c r="M13" s="221">
        <f t="shared" si="2"/>
        <v>0.98206278026905824</v>
      </c>
      <c r="N13" s="209">
        <f>IFERROR(VLOOKUP($B13,MMWR_TRAD_AGG_RO_COMP[],N$1,0),"ERROR")</f>
        <v>110</v>
      </c>
      <c r="O13" s="210">
        <f>IFERROR(VLOOKUP($B13,MMWR_TRAD_AGG_RO_COMP[],O$1,0),"ERROR")</f>
        <v>85</v>
      </c>
      <c r="P13" s="221">
        <f t="shared" si="3"/>
        <v>0.77272727272727271</v>
      </c>
      <c r="Q13" s="206">
        <f>IFERROR(VLOOKUP($B13,MMWR_TRAD_AGG_RO_COMP[],Q$1,0),"ERROR")</f>
        <v>0</v>
      </c>
      <c r="R13" s="206">
        <f>IFERROR(VLOOKUP($B13,MMWR_TRAD_AGG_RO_COMP[],R$1,0),"ERROR")</f>
        <v>1</v>
      </c>
      <c r="S13" s="206">
        <f>IFERROR(VLOOKUP($B13,MMWR_APP_RO[],S$1,0),"ERROR")</f>
        <v>699</v>
      </c>
      <c r="T13" s="25"/>
    </row>
    <row r="14" spans="1:20" x14ac:dyDescent="0.2">
      <c r="A14" s="108"/>
      <c r="B14" s="109" t="s">
        <v>63</v>
      </c>
      <c r="C14" s="214">
        <f>IFERROR(VLOOKUP($B14,MMWR_TRAD_AGG_RO_COMP[],C$1,0),"ERROR")</f>
        <v>3324</v>
      </c>
      <c r="D14" s="203">
        <f>IFERROR(VLOOKUP($B14,MMWR_TRAD_AGG_RO_COMP[],D$1,0),"ERROR")</f>
        <v>254.7289410349</v>
      </c>
      <c r="E14" s="200">
        <f>IFERROR(VLOOKUP($B14,MMWR_TRAD_AGG_RO_COMP[],E$1,0),"ERROR")</f>
        <v>4938</v>
      </c>
      <c r="F14" s="196">
        <f>IFERROR(VLOOKUP($B14,MMWR_TRAD_AGG_RO_COMP[],F$1,0),"ERROR")</f>
        <v>2123</v>
      </c>
      <c r="G14" s="221">
        <f t="shared" si="0"/>
        <v>0.42993114621304174</v>
      </c>
      <c r="H14" s="195">
        <f>IFERROR(VLOOKUP($B14,MMWR_TRAD_AGG_RO_COMP[],H$1,0),"ERROR")</f>
        <v>5057</v>
      </c>
      <c r="I14" s="196">
        <f>IFERROR(VLOOKUP($B14,MMWR_TRAD_AGG_RO_COMP[],I$1,0),"ERROR")</f>
        <v>2775</v>
      </c>
      <c r="J14" s="221">
        <f t="shared" si="1"/>
        <v>0.54874431481115282</v>
      </c>
      <c r="K14" s="209">
        <f>IFERROR(VLOOKUP($B14,MMWR_TRAD_AGG_RO_COMP[],K$1,0),"ERROR")</f>
        <v>1223</v>
      </c>
      <c r="L14" s="210">
        <f>IFERROR(VLOOKUP($B14,MMWR_TRAD_AGG_RO_COMP[],L$1,0),"ERROR")</f>
        <v>816</v>
      </c>
      <c r="M14" s="221">
        <f t="shared" si="2"/>
        <v>0.66721177432542922</v>
      </c>
      <c r="N14" s="209">
        <f>IFERROR(VLOOKUP($B14,MMWR_TRAD_AGG_RO_COMP[],N$1,0),"ERROR")</f>
        <v>297</v>
      </c>
      <c r="O14" s="210">
        <f>IFERROR(VLOOKUP($B14,MMWR_TRAD_AGG_RO_COMP[],O$1,0),"ERROR")</f>
        <v>224</v>
      </c>
      <c r="P14" s="221">
        <f t="shared" si="3"/>
        <v>0.75420875420875422</v>
      </c>
      <c r="Q14" s="206">
        <f>IFERROR(VLOOKUP($B14,MMWR_TRAD_AGG_RO_COMP[],Q$1,0),"ERROR")</f>
        <v>0</v>
      </c>
      <c r="R14" s="206">
        <f>IFERROR(VLOOKUP($B14,MMWR_TRAD_AGG_RO_COMP[],R$1,0),"ERROR")</f>
        <v>9</v>
      </c>
      <c r="S14" s="206">
        <f>IFERROR(VLOOKUP($B14,MMWR_APP_RO[],S$1,0),"ERROR")</f>
        <v>3361</v>
      </c>
      <c r="T14" s="25"/>
    </row>
    <row r="15" spans="1:20" x14ac:dyDescent="0.2">
      <c r="A15" s="108"/>
      <c r="B15" s="109" t="s">
        <v>64</v>
      </c>
      <c r="C15" s="214">
        <f>IFERROR(VLOOKUP($B15,MMWR_TRAD_AGG_RO_COMP[],C$1,0),"ERROR")</f>
        <v>586</v>
      </c>
      <c r="D15" s="203">
        <f>IFERROR(VLOOKUP($B15,MMWR_TRAD_AGG_RO_COMP[],D$1,0),"ERROR")</f>
        <v>162.27474402729999</v>
      </c>
      <c r="E15" s="200">
        <f>IFERROR(VLOOKUP($B15,MMWR_TRAD_AGG_RO_COMP[],E$1,0),"ERROR")</f>
        <v>2652</v>
      </c>
      <c r="F15" s="196">
        <f>IFERROR(VLOOKUP($B15,MMWR_TRAD_AGG_RO_COMP[],F$1,0),"ERROR")</f>
        <v>967</v>
      </c>
      <c r="G15" s="221">
        <f t="shared" si="0"/>
        <v>0.36463046757164402</v>
      </c>
      <c r="H15" s="195">
        <f>IFERROR(VLOOKUP($B15,MMWR_TRAD_AGG_RO_COMP[],H$1,0),"ERROR")</f>
        <v>1188</v>
      </c>
      <c r="I15" s="196">
        <f>IFERROR(VLOOKUP($B15,MMWR_TRAD_AGG_RO_COMP[],I$1,0),"ERROR")</f>
        <v>466</v>
      </c>
      <c r="J15" s="221">
        <f t="shared" si="1"/>
        <v>0.39225589225589225</v>
      </c>
      <c r="K15" s="209">
        <f>IFERROR(VLOOKUP($B15,MMWR_TRAD_AGG_RO_COMP[],K$1,0),"ERROR")</f>
        <v>104</v>
      </c>
      <c r="L15" s="210">
        <f>IFERROR(VLOOKUP($B15,MMWR_TRAD_AGG_RO_COMP[],L$1,0),"ERROR")</f>
        <v>76</v>
      </c>
      <c r="M15" s="221">
        <f t="shared" si="2"/>
        <v>0.73076923076923073</v>
      </c>
      <c r="N15" s="209">
        <f>IFERROR(VLOOKUP($B15,MMWR_TRAD_AGG_RO_COMP[],N$1,0),"ERROR")</f>
        <v>1998</v>
      </c>
      <c r="O15" s="210">
        <f>IFERROR(VLOOKUP($B15,MMWR_TRAD_AGG_RO_COMP[],O$1,0),"ERROR")</f>
        <v>1259</v>
      </c>
      <c r="P15" s="221">
        <f t="shared" si="3"/>
        <v>0.63013013013013008</v>
      </c>
      <c r="Q15" s="206">
        <f>IFERROR(VLOOKUP($B15,MMWR_TRAD_AGG_RO_COMP[],Q$1,0),"ERROR")</f>
        <v>0</v>
      </c>
      <c r="R15" s="206">
        <f>IFERROR(VLOOKUP($B15,MMWR_TRAD_AGG_RO_COMP[],R$1,0),"ERROR")</f>
        <v>2</v>
      </c>
      <c r="S15" s="206">
        <f>IFERROR(VLOOKUP($B15,MMWR_APP_RO[],S$1,0),"ERROR")</f>
        <v>2693</v>
      </c>
      <c r="T15" s="25"/>
    </row>
    <row r="16" spans="1:20" x14ac:dyDescent="0.2">
      <c r="A16" s="108"/>
      <c r="B16" s="109" t="s">
        <v>66</v>
      </c>
      <c r="C16" s="214">
        <f>IFERROR(VLOOKUP($B16,MMWR_TRAD_AGG_RO_COMP[],C$1,0),"ERROR")</f>
        <v>5863</v>
      </c>
      <c r="D16" s="203">
        <f>IFERROR(VLOOKUP($B16,MMWR_TRAD_AGG_RO_COMP[],D$1,0),"ERROR")</f>
        <v>426.65921882999999</v>
      </c>
      <c r="E16" s="200">
        <f>IFERROR(VLOOKUP($B16,MMWR_TRAD_AGG_RO_COMP[],E$1,0),"ERROR")</f>
        <v>11112</v>
      </c>
      <c r="F16" s="196">
        <f>IFERROR(VLOOKUP($B16,MMWR_TRAD_AGG_RO_COMP[],F$1,0),"ERROR")</f>
        <v>4102</v>
      </c>
      <c r="G16" s="221">
        <f t="shared" si="0"/>
        <v>0.36915046796256301</v>
      </c>
      <c r="H16" s="195">
        <f>IFERROR(VLOOKUP($B16,MMWR_TRAD_AGG_RO_COMP[],H$1,0),"ERROR")</f>
        <v>8654</v>
      </c>
      <c r="I16" s="196">
        <f>IFERROR(VLOOKUP($B16,MMWR_TRAD_AGG_RO_COMP[],I$1,0),"ERROR")</f>
        <v>5560</v>
      </c>
      <c r="J16" s="221">
        <f t="shared" si="1"/>
        <v>0.64247746706725217</v>
      </c>
      <c r="K16" s="209">
        <f>IFERROR(VLOOKUP($B16,MMWR_TRAD_AGG_RO_COMP[],K$1,0),"ERROR")</f>
        <v>1224</v>
      </c>
      <c r="L16" s="210">
        <f>IFERROR(VLOOKUP($B16,MMWR_TRAD_AGG_RO_COMP[],L$1,0),"ERROR")</f>
        <v>399</v>
      </c>
      <c r="M16" s="221">
        <f t="shared" si="2"/>
        <v>0.32598039215686275</v>
      </c>
      <c r="N16" s="209">
        <f>IFERROR(VLOOKUP($B16,MMWR_TRAD_AGG_RO_COMP[],N$1,0),"ERROR")</f>
        <v>7306</v>
      </c>
      <c r="O16" s="210">
        <f>IFERROR(VLOOKUP($B16,MMWR_TRAD_AGG_RO_COMP[],O$1,0),"ERROR")</f>
        <v>4622</v>
      </c>
      <c r="P16" s="221">
        <f t="shared" si="3"/>
        <v>0.6326307144812483</v>
      </c>
      <c r="Q16" s="206">
        <f>IFERROR(VLOOKUP($B16,MMWR_TRAD_AGG_RO_COMP[],Q$1,0),"ERROR")</f>
        <v>6382</v>
      </c>
      <c r="R16" s="206">
        <f>IFERROR(VLOOKUP($B16,MMWR_TRAD_AGG_RO_COMP[],R$1,0),"ERROR")</f>
        <v>0</v>
      </c>
      <c r="S16" s="206">
        <f>IFERROR(VLOOKUP($B16,MMWR_APP_RO[],S$1,0),"ERROR")</f>
        <v>4589</v>
      </c>
      <c r="T16" s="25"/>
    </row>
    <row r="17" spans="1:20" x14ac:dyDescent="0.2">
      <c r="A17" s="108"/>
      <c r="B17" s="109" t="s">
        <v>68</v>
      </c>
      <c r="C17" s="214">
        <f>IFERROR(VLOOKUP($B17,MMWR_TRAD_AGG_RO_COMP[],C$1,0),"ERROR")</f>
        <v>4065</v>
      </c>
      <c r="D17" s="203">
        <f>IFERROR(VLOOKUP($B17,MMWR_TRAD_AGG_RO_COMP[],D$1,0),"ERROR")</f>
        <v>437.01599015990001</v>
      </c>
      <c r="E17" s="200">
        <f>IFERROR(VLOOKUP($B17,MMWR_TRAD_AGG_RO_COMP[],E$1,0),"ERROR")</f>
        <v>4644</v>
      </c>
      <c r="F17" s="196">
        <f>IFERROR(VLOOKUP($B17,MMWR_TRAD_AGG_RO_COMP[],F$1,0),"ERROR")</f>
        <v>1893</v>
      </c>
      <c r="G17" s="221">
        <f t="shared" si="0"/>
        <v>0.40762273901808788</v>
      </c>
      <c r="H17" s="195">
        <f>IFERROR(VLOOKUP($B17,MMWR_TRAD_AGG_RO_COMP[],H$1,0),"ERROR")</f>
        <v>5533</v>
      </c>
      <c r="I17" s="196">
        <f>IFERROR(VLOOKUP($B17,MMWR_TRAD_AGG_RO_COMP[],I$1,0),"ERROR")</f>
        <v>3998</v>
      </c>
      <c r="J17" s="221">
        <f t="shared" si="1"/>
        <v>0.72257364901500087</v>
      </c>
      <c r="K17" s="209">
        <f>IFERROR(VLOOKUP($B17,MMWR_TRAD_AGG_RO_COMP[],K$1,0),"ERROR")</f>
        <v>500</v>
      </c>
      <c r="L17" s="210">
        <f>IFERROR(VLOOKUP($B17,MMWR_TRAD_AGG_RO_COMP[],L$1,0),"ERROR")</f>
        <v>401</v>
      </c>
      <c r="M17" s="221">
        <f t="shared" si="2"/>
        <v>0.80200000000000005</v>
      </c>
      <c r="N17" s="209">
        <f>IFERROR(VLOOKUP($B17,MMWR_TRAD_AGG_RO_COMP[],N$1,0),"ERROR")</f>
        <v>1264</v>
      </c>
      <c r="O17" s="210">
        <f>IFERROR(VLOOKUP($B17,MMWR_TRAD_AGG_RO_COMP[],O$1,0),"ERROR")</f>
        <v>1017</v>
      </c>
      <c r="P17" s="221">
        <f t="shared" si="3"/>
        <v>0.80458860759493667</v>
      </c>
      <c r="Q17" s="206">
        <f>IFERROR(VLOOKUP($B17,MMWR_TRAD_AGG_RO_COMP[],Q$1,0),"ERROR")</f>
        <v>1</v>
      </c>
      <c r="R17" s="206">
        <f>IFERROR(VLOOKUP($B17,MMWR_TRAD_AGG_RO_COMP[],R$1,0),"ERROR")</f>
        <v>3</v>
      </c>
      <c r="S17" s="206">
        <f>IFERROR(VLOOKUP($B17,MMWR_APP_RO[],S$1,0),"ERROR")</f>
        <v>4622</v>
      </c>
      <c r="T17" s="25"/>
    </row>
    <row r="18" spans="1:20" x14ac:dyDescent="0.2">
      <c r="A18" s="108"/>
      <c r="B18" s="109" t="s">
        <v>70</v>
      </c>
      <c r="C18" s="214">
        <f>IFERROR(VLOOKUP($B18,MMWR_TRAD_AGG_RO_COMP[],C$1,0),"ERROR")</f>
        <v>786</v>
      </c>
      <c r="D18" s="203">
        <f>IFERROR(VLOOKUP($B18,MMWR_TRAD_AGG_RO_COMP[],D$1,0),"ERROR")</f>
        <v>132.5928753181</v>
      </c>
      <c r="E18" s="200">
        <f>IFERROR(VLOOKUP($B18,MMWR_TRAD_AGG_RO_COMP[],E$1,0),"ERROR")</f>
        <v>1968</v>
      </c>
      <c r="F18" s="196">
        <f>IFERROR(VLOOKUP($B18,MMWR_TRAD_AGG_RO_COMP[],F$1,0),"ERROR")</f>
        <v>472</v>
      </c>
      <c r="G18" s="221">
        <f t="shared" si="0"/>
        <v>0.23983739837398374</v>
      </c>
      <c r="H18" s="195">
        <f>IFERROR(VLOOKUP($B18,MMWR_TRAD_AGG_RO_COMP[],H$1,0),"ERROR")</f>
        <v>2293</v>
      </c>
      <c r="I18" s="196">
        <f>IFERROR(VLOOKUP($B18,MMWR_TRAD_AGG_RO_COMP[],I$1,0),"ERROR")</f>
        <v>643</v>
      </c>
      <c r="J18" s="221">
        <f t="shared" si="1"/>
        <v>0.28041866550370692</v>
      </c>
      <c r="K18" s="209">
        <f>IFERROR(VLOOKUP($B18,MMWR_TRAD_AGG_RO_COMP[],K$1,0),"ERROR")</f>
        <v>664</v>
      </c>
      <c r="L18" s="210">
        <f>IFERROR(VLOOKUP($B18,MMWR_TRAD_AGG_RO_COMP[],L$1,0),"ERROR")</f>
        <v>226</v>
      </c>
      <c r="M18" s="221">
        <f t="shared" si="2"/>
        <v>0.34036144578313254</v>
      </c>
      <c r="N18" s="209">
        <f>IFERROR(VLOOKUP($B18,MMWR_TRAD_AGG_RO_COMP[],N$1,0),"ERROR")</f>
        <v>198</v>
      </c>
      <c r="O18" s="210">
        <f>IFERROR(VLOOKUP($B18,MMWR_TRAD_AGG_RO_COMP[],O$1,0),"ERROR")</f>
        <v>145</v>
      </c>
      <c r="P18" s="221">
        <f t="shared" si="3"/>
        <v>0.73232323232323238</v>
      </c>
      <c r="Q18" s="206">
        <f>IFERROR(VLOOKUP($B18,MMWR_TRAD_AGG_RO_COMP[],Q$1,0),"ERROR")</f>
        <v>0</v>
      </c>
      <c r="R18" s="206">
        <f>IFERROR(VLOOKUP($B18,MMWR_TRAD_AGG_RO_COMP[],R$1,0),"ERROR")</f>
        <v>4</v>
      </c>
      <c r="S18" s="206">
        <f>IFERROR(VLOOKUP($B18,MMWR_APP_RO[],S$1,0),"ERROR")</f>
        <v>491</v>
      </c>
      <c r="T18" s="25"/>
    </row>
    <row r="19" spans="1:20" x14ac:dyDescent="0.2">
      <c r="A19" s="108"/>
      <c r="B19" s="109" t="s">
        <v>72</v>
      </c>
      <c r="C19" s="214">
        <f>IFERROR(VLOOKUP($B19,MMWR_TRAD_AGG_RO_COMP[],C$1,0),"ERROR")</f>
        <v>15973</v>
      </c>
      <c r="D19" s="203">
        <f>IFERROR(VLOOKUP($B19,MMWR_TRAD_AGG_RO_COMP[],D$1,0),"ERROR")</f>
        <v>400.6757027484</v>
      </c>
      <c r="E19" s="200">
        <f>IFERROR(VLOOKUP($B19,MMWR_TRAD_AGG_RO_COMP[],E$1,0),"ERROR")</f>
        <v>11465</v>
      </c>
      <c r="F19" s="196">
        <f>IFERROR(VLOOKUP($B19,MMWR_TRAD_AGG_RO_COMP[],F$1,0),"ERROR")</f>
        <v>4032</v>
      </c>
      <c r="G19" s="221">
        <f t="shared" si="0"/>
        <v>0.35167902311382471</v>
      </c>
      <c r="H19" s="195">
        <f>IFERROR(VLOOKUP($B19,MMWR_TRAD_AGG_RO_COMP[],H$1,0),"ERROR")</f>
        <v>18832</v>
      </c>
      <c r="I19" s="196">
        <f>IFERROR(VLOOKUP($B19,MMWR_TRAD_AGG_RO_COMP[],I$1,0),"ERROR")</f>
        <v>13177</v>
      </c>
      <c r="J19" s="221">
        <f t="shared" si="1"/>
        <v>0.69971325403568396</v>
      </c>
      <c r="K19" s="209">
        <f>IFERROR(VLOOKUP($B19,MMWR_TRAD_AGG_RO_COMP[],K$1,0),"ERROR")</f>
        <v>2795</v>
      </c>
      <c r="L19" s="210">
        <f>IFERROR(VLOOKUP($B19,MMWR_TRAD_AGG_RO_COMP[],L$1,0),"ERROR")</f>
        <v>2283</v>
      </c>
      <c r="M19" s="221">
        <f t="shared" si="2"/>
        <v>0.81681574239713772</v>
      </c>
      <c r="N19" s="209">
        <f>IFERROR(VLOOKUP($B19,MMWR_TRAD_AGG_RO_COMP[],N$1,0),"ERROR")</f>
        <v>5227</v>
      </c>
      <c r="O19" s="210">
        <f>IFERROR(VLOOKUP($B19,MMWR_TRAD_AGG_RO_COMP[],O$1,0),"ERROR")</f>
        <v>4494</v>
      </c>
      <c r="P19" s="221">
        <f t="shared" si="3"/>
        <v>0.85976659651807918</v>
      </c>
      <c r="Q19" s="206">
        <f>IFERROR(VLOOKUP($B19,MMWR_TRAD_AGG_RO_COMP[],Q$1,0),"ERROR")</f>
        <v>6</v>
      </c>
      <c r="R19" s="206">
        <f>IFERROR(VLOOKUP($B19,MMWR_TRAD_AGG_RO_COMP[],R$1,0),"ERROR")</f>
        <v>23</v>
      </c>
      <c r="S19" s="206">
        <f>IFERROR(VLOOKUP($B19,MMWR_APP_RO[],S$1,0),"ERROR")</f>
        <v>13203</v>
      </c>
      <c r="T19" s="25"/>
    </row>
    <row r="20" spans="1:20" x14ac:dyDescent="0.2">
      <c r="A20" s="108"/>
      <c r="B20" s="109" t="s">
        <v>81</v>
      </c>
      <c r="C20" s="214">
        <f>IFERROR(VLOOKUP($B20,MMWR_TRAD_AGG_RO_COMP[],C$1,0),"ERROR")</f>
        <v>1126</v>
      </c>
      <c r="D20" s="203">
        <f>IFERROR(VLOOKUP($B20,MMWR_TRAD_AGG_RO_COMP[],D$1,0),"ERROR")</f>
        <v>267.48401420959999</v>
      </c>
      <c r="E20" s="200">
        <f>IFERROR(VLOOKUP($B20,MMWR_TRAD_AGG_RO_COMP[],E$1,0),"ERROR")</f>
        <v>1209</v>
      </c>
      <c r="F20" s="196">
        <f>IFERROR(VLOOKUP($B20,MMWR_TRAD_AGG_RO_COMP[],F$1,0),"ERROR")</f>
        <v>285</v>
      </c>
      <c r="G20" s="221">
        <f t="shared" si="0"/>
        <v>0.23573200992555832</v>
      </c>
      <c r="H20" s="195">
        <f>IFERROR(VLOOKUP($B20,MMWR_TRAD_AGG_RO_COMP[],H$1,0),"ERROR")</f>
        <v>1739</v>
      </c>
      <c r="I20" s="196">
        <f>IFERROR(VLOOKUP($B20,MMWR_TRAD_AGG_RO_COMP[],I$1,0),"ERROR")</f>
        <v>960</v>
      </c>
      <c r="J20" s="221">
        <f t="shared" si="1"/>
        <v>0.55204140310523286</v>
      </c>
      <c r="K20" s="209">
        <f>IFERROR(VLOOKUP($B20,MMWR_TRAD_AGG_RO_COMP[],K$1,0),"ERROR")</f>
        <v>623</v>
      </c>
      <c r="L20" s="210">
        <f>IFERROR(VLOOKUP($B20,MMWR_TRAD_AGG_RO_COMP[],L$1,0),"ERROR")</f>
        <v>508</v>
      </c>
      <c r="M20" s="221">
        <f t="shared" si="2"/>
        <v>0.8154093097913323</v>
      </c>
      <c r="N20" s="209">
        <f>IFERROR(VLOOKUP($B20,MMWR_TRAD_AGG_RO_COMP[],N$1,0),"ERROR")</f>
        <v>968</v>
      </c>
      <c r="O20" s="210">
        <f>IFERROR(VLOOKUP($B20,MMWR_TRAD_AGG_RO_COMP[],O$1,0),"ERROR")</f>
        <v>887</v>
      </c>
      <c r="P20" s="221">
        <f t="shared" si="3"/>
        <v>0.91632231404958675</v>
      </c>
      <c r="Q20" s="206">
        <f>IFERROR(VLOOKUP($B20,MMWR_TRAD_AGG_RO_COMP[],Q$1,0),"ERROR")</f>
        <v>0</v>
      </c>
      <c r="R20" s="206">
        <f>IFERROR(VLOOKUP($B20,MMWR_TRAD_AGG_RO_COMP[],R$1,0),"ERROR")</f>
        <v>0</v>
      </c>
      <c r="S20" s="206">
        <f>IFERROR(VLOOKUP($B20,MMWR_APP_RO[],S$1,0),"ERROR")</f>
        <v>349</v>
      </c>
      <c r="T20" s="25"/>
    </row>
    <row r="21" spans="1:20" x14ac:dyDescent="0.2">
      <c r="A21" s="108"/>
      <c r="B21" s="109" t="s">
        <v>440</v>
      </c>
      <c r="C21" s="214">
        <f>IFERROR(VLOOKUP($B21,MMWR_TRAD_AGG_RO_COMP[],C$1,0),"ERROR")</f>
        <v>46440</v>
      </c>
      <c r="D21" s="203">
        <f>IFERROR(VLOOKUP($B21,MMWR_TRAD_AGG_RO_COMP[],D$1,0),"ERROR")</f>
        <v>404.39274332470001</v>
      </c>
      <c r="E21" s="200">
        <f>IFERROR(VLOOKUP($B21,MMWR_TRAD_AGG_RO_COMP[],E$1,0),"ERROR")</f>
        <v>1041</v>
      </c>
      <c r="F21" s="196">
        <f>IFERROR(VLOOKUP($B21,MMWR_TRAD_AGG_RO_COMP[],F$1,0),"ERROR")</f>
        <v>351</v>
      </c>
      <c r="G21" s="221">
        <f t="shared" si="0"/>
        <v>0.33717579250720459</v>
      </c>
      <c r="H21" s="195">
        <f>IFERROR(VLOOKUP($B21,MMWR_TRAD_AGG_RO_COMP[],H$1,0),"ERROR")</f>
        <v>47020</v>
      </c>
      <c r="I21" s="196">
        <f>IFERROR(VLOOKUP($B21,MMWR_TRAD_AGG_RO_COMP[],I$1,0),"ERROR")</f>
        <v>42651</v>
      </c>
      <c r="J21" s="221">
        <f t="shared" si="1"/>
        <v>0.90708209272649931</v>
      </c>
      <c r="K21" s="209">
        <f>IFERROR(VLOOKUP($B21,MMWR_TRAD_AGG_RO_COMP[],K$1,0),"ERROR")</f>
        <v>120</v>
      </c>
      <c r="L21" s="210">
        <f>IFERROR(VLOOKUP($B21,MMWR_TRAD_AGG_RO_COMP[],L$1,0),"ERROR")</f>
        <v>115</v>
      </c>
      <c r="M21" s="221">
        <f t="shared" si="2"/>
        <v>0.95833333333333337</v>
      </c>
      <c r="N21" s="209">
        <f>IFERROR(VLOOKUP($B21,MMWR_TRAD_AGG_RO_COMP[],N$1,0),"ERROR")</f>
        <v>781</v>
      </c>
      <c r="O21" s="210">
        <f>IFERROR(VLOOKUP($B21,MMWR_TRAD_AGG_RO_COMP[],O$1,0),"ERROR")</f>
        <v>745</v>
      </c>
      <c r="P21" s="221">
        <f t="shared" si="3"/>
        <v>0.95390524967989754</v>
      </c>
      <c r="Q21" s="206">
        <f>IFERROR(VLOOKUP($B21,MMWR_TRAD_AGG_RO_COMP[],Q$1,0),"ERROR")</f>
        <v>0</v>
      </c>
      <c r="R21" s="206">
        <f>IFERROR(VLOOKUP($B21,MMWR_TRAD_AGG_RO_COMP[],R$1,0),"ERROR")</f>
        <v>2</v>
      </c>
      <c r="S21" s="206">
        <f>IFERROR(VLOOKUP($B21,MMWR_APP_RO[],S$1,0),"ERROR")</f>
        <v>3</v>
      </c>
      <c r="T21" s="25"/>
    </row>
    <row r="22" spans="1:20" x14ac:dyDescent="0.2">
      <c r="A22" s="108"/>
      <c r="B22" s="109" t="s">
        <v>141</v>
      </c>
      <c r="C22" s="214">
        <f>IFERROR(VLOOKUP($B22,MMWR_TRAD_AGG_RO_COMP[],C$1,0),"ERROR")</f>
        <v>516</v>
      </c>
      <c r="D22" s="203">
        <f>IFERROR(VLOOKUP($B22,MMWR_TRAD_AGG_RO_COMP[],D$1,0),"ERROR")</f>
        <v>387.47868217050001</v>
      </c>
      <c r="E22" s="200">
        <f>IFERROR(VLOOKUP($B22,MMWR_TRAD_AGG_RO_COMP[],E$1,0),"ERROR")</f>
        <v>410</v>
      </c>
      <c r="F22" s="196">
        <f>IFERROR(VLOOKUP($B22,MMWR_TRAD_AGG_RO_COMP[],F$1,0),"ERROR")</f>
        <v>129</v>
      </c>
      <c r="G22" s="221">
        <f t="shared" si="0"/>
        <v>0.31463414634146342</v>
      </c>
      <c r="H22" s="195">
        <f>IFERROR(VLOOKUP($B22,MMWR_TRAD_AGG_RO_COMP[],H$1,0),"ERROR")</f>
        <v>788</v>
      </c>
      <c r="I22" s="196">
        <f>IFERROR(VLOOKUP($B22,MMWR_TRAD_AGG_RO_COMP[],I$1,0),"ERROR")</f>
        <v>494</v>
      </c>
      <c r="J22" s="221">
        <f t="shared" si="1"/>
        <v>0.62690355329949243</v>
      </c>
      <c r="K22" s="209">
        <f>IFERROR(VLOOKUP($B22,MMWR_TRAD_AGG_RO_COMP[],K$1,0),"ERROR")</f>
        <v>80</v>
      </c>
      <c r="L22" s="210">
        <f>IFERROR(VLOOKUP($B22,MMWR_TRAD_AGG_RO_COMP[],L$1,0),"ERROR")</f>
        <v>72</v>
      </c>
      <c r="M22" s="221">
        <f t="shared" si="2"/>
        <v>0.9</v>
      </c>
      <c r="N22" s="209">
        <f>IFERROR(VLOOKUP($B22,MMWR_TRAD_AGG_RO_COMP[],N$1,0),"ERROR")</f>
        <v>110</v>
      </c>
      <c r="O22" s="210">
        <f>IFERROR(VLOOKUP($B22,MMWR_TRAD_AGG_RO_COMP[],O$1,0),"ERROR")</f>
        <v>77</v>
      </c>
      <c r="P22" s="221">
        <f t="shared" si="3"/>
        <v>0.7</v>
      </c>
      <c r="Q22" s="206">
        <f>IFERROR(VLOOKUP($B22,MMWR_TRAD_AGG_RO_COMP[],Q$1,0),"ERROR")</f>
        <v>0</v>
      </c>
      <c r="R22" s="206">
        <f>IFERROR(VLOOKUP($B22,MMWR_TRAD_AGG_RO_COMP[],R$1,0),"ERROR")</f>
        <v>1</v>
      </c>
      <c r="S22" s="206">
        <f>IFERROR(VLOOKUP($B22,MMWR_APP_RO[],S$1,0),"ERROR")</f>
        <v>172</v>
      </c>
      <c r="T22" s="25"/>
    </row>
    <row r="23" spans="1:20" x14ac:dyDescent="0.2">
      <c r="A23" s="108"/>
      <c r="B23" s="109" t="s">
        <v>85</v>
      </c>
      <c r="C23" s="214">
        <f>IFERROR(VLOOKUP($B23,MMWR_TRAD_AGG_RO_COMP[],C$1,0),"ERROR")</f>
        <v>551</v>
      </c>
      <c r="D23" s="203">
        <f>IFERROR(VLOOKUP($B23,MMWR_TRAD_AGG_RO_COMP[],D$1,0),"ERROR")</f>
        <v>479.12704174229998</v>
      </c>
      <c r="E23" s="200">
        <f>IFERROR(VLOOKUP($B23,MMWR_TRAD_AGG_RO_COMP[],E$1,0),"ERROR")</f>
        <v>883</v>
      </c>
      <c r="F23" s="196">
        <f>IFERROR(VLOOKUP($B23,MMWR_TRAD_AGG_RO_COMP[],F$1,0),"ERROR")</f>
        <v>331</v>
      </c>
      <c r="G23" s="221">
        <f t="shared" si="0"/>
        <v>0.37485843714609285</v>
      </c>
      <c r="H23" s="195">
        <f>IFERROR(VLOOKUP($B23,MMWR_TRAD_AGG_RO_COMP[],H$1,0),"ERROR")</f>
        <v>630</v>
      </c>
      <c r="I23" s="196">
        <f>IFERROR(VLOOKUP($B23,MMWR_TRAD_AGG_RO_COMP[],I$1,0),"ERROR")</f>
        <v>439</v>
      </c>
      <c r="J23" s="221">
        <f t="shared" si="1"/>
        <v>0.69682539682539679</v>
      </c>
      <c r="K23" s="209">
        <f>IFERROR(VLOOKUP($B23,MMWR_TRAD_AGG_RO_COMP[],K$1,0),"ERROR")</f>
        <v>9</v>
      </c>
      <c r="L23" s="210">
        <f>IFERROR(VLOOKUP($B23,MMWR_TRAD_AGG_RO_COMP[],L$1,0),"ERROR")</f>
        <v>7</v>
      </c>
      <c r="M23" s="221">
        <f t="shared" si="2"/>
        <v>0.77777777777777779</v>
      </c>
      <c r="N23" s="209">
        <f>IFERROR(VLOOKUP($B23,MMWR_TRAD_AGG_RO_COMP[],N$1,0),"ERROR")</f>
        <v>243</v>
      </c>
      <c r="O23" s="210">
        <f>IFERROR(VLOOKUP($B23,MMWR_TRAD_AGG_RO_COMP[],O$1,0),"ERROR")</f>
        <v>154</v>
      </c>
      <c r="P23" s="221">
        <f t="shared" si="3"/>
        <v>0.63374485596707819</v>
      </c>
      <c r="Q23" s="206">
        <f>IFERROR(VLOOKUP($B23,MMWR_TRAD_AGG_RO_COMP[],Q$1,0),"ERROR")</f>
        <v>0</v>
      </c>
      <c r="R23" s="206">
        <f>IFERROR(VLOOKUP($B23,MMWR_TRAD_AGG_RO_COMP[],R$1,0),"ERROR")</f>
        <v>0</v>
      </c>
      <c r="S23" s="206">
        <f>IFERROR(VLOOKUP($B23,MMWR_APP_RO[],S$1,0),"ERROR")</f>
        <v>203</v>
      </c>
      <c r="T23" s="25"/>
    </row>
    <row r="24" spans="1:20" x14ac:dyDescent="0.2">
      <c r="A24" s="93"/>
      <c r="B24" s="117" t="s">
        <v>86</v>
      </c>
      <c r="C24" s="215">
        <f>IFERROR(VLOOKUP($B24,MMWR_TRAD_AGG_RO_COMP[],C$1,0),"ERROR")</f>
        <v>16734</v>
      </c>
      <c r="D24" s="204">
        <f>IFERROR(VLOOKUP($B24,MMWR_TRAD_AGG_RO_COMP[],D$1,0),"ERROR")</f>
        <v>329.6254332497</v>
      </c>
      <c r="E24" s="201">
        <f>IFERROR(VLOOKUP($B24,MMWR_TRAD_AGG_RO_COMP[],E$1,0),"ERROR")</f>
        <v>24718</v>
      </c>
      <c r="F24" s="198">
        <f>IFERROR(VLOOKUP($B24,MMWR_TRAD_AGG_RO_COMP[],F$1,0),"ERROR")</f>
        <v>8555</v>
      </c>
      <c r="G24" s="222">
        <f t="shared" si="0"/>
        <v>0.34610405372602959</v>
      </c>
      <c r="H24" s="197">
        <f>IFERROR(VLOOKUP($B24,MMWR_TRAD_AGG_RO_COMP[],H$1,0),"ERROR")</f>
        <v>24613</v>
      </c>
      <c r="I24" s="198">
        <f>IFERROR(VLOOKUP($B24,MMWR_TRAD_AGG_RO_COMP[],I$1,0),"ERROR")</f>
        <v>14185</v>
      </c>
      <c r="J24" s="222">
        <f t="shared" si="1"/>
        <v>0.57632145614106367</v>
      </c>
      <c r="K24" s="211">
        <f>IFERROR(VLOOKUP($B24,MMWR_TRAD_AGG_RO_COMP[],K$1,0),"ERROR")</f>
        <v>4784</v>
      </c>
      <c r="L24" s="212">
        <f>IFERROR(VLOOKUP($B24,MMWR_TRAD_AGG_RO_COMP[],L$1,0),"ERROR")</f>
        <v>3825</v>
      </c>
      <c r="M24" s="222">
        <f t="shared" si="2"/>
        <v>0.79954013377926425</v>
      </c>
      <c r="N24" s="211">
        <f>IFERROR(VLOOKUP($B24,MMWR_TRAD_AGG_RO_COMP[],N$1,0),"ERROR")</f>
        <v>6642</v>
      </c>
      <c r="O24" s="212">
        <f>IFERROR(VLOOKUP($B24,MMWR_TRAD_AGG_RO_COMP[],O$1,0),"ERROR")</f>
        <v>4142</v>
      </c>
      <c r="P24" s="222">
        <f t="shared" si="3"/>
        <v>0.62360734718458299</v>
      </c>
      <c r="Q24" s="207">
        <f>IFERROR(VLOOKUP($B24,MMWR_TRAD_AGG_RO_COMP[],Q$1,0),"ERROR")</f>
        <v>0</v>
      </c>
      <c r="R24" s="207">
        <f>IFERROR(VLOOKUP($B24,MMWR_TRAD_AGG_RO_COMP[],R$1,0),"ERROR")</f>
        <v>20</v>
      </c>
      <c r="S24" s="206">
        <f>IFERROR(VLOOKUP($B24,MMWR_APP_RO[],S$1,0),"ERROR")</f>
        <v>9035</v>
      </c>
      <c r="T24" s="25"/>
    </row>
    <row r="25" spans="1:20" x14ac:dyDescent="0.2">
      <c r="A25" s="108"/>
      <c r="B25" s="102" t="s">
        <v>400</v>
      </c>
      <c r="C25" s="217">
        <f>IFERROR(VLOOKUP($B25,MMWR_TRAD_AGG_DISTRICT_COMP[],C$1,0),"ERROR")</f>
        <v>49733</v>
      </c>
      <c r="D25" s="202">
        <f>IFERROR(VLOOKUP($B25,MMWR_TRAD_AGG_DISTRICT_COMP[],D$1,0),"ERROR")</f>
        <v>334.91203024150002</v>
      </c>
      <c r="E25" s="218">
        <f>IFERROR(VLOOKUP($B25,MMWR_TRAD_AGG_DISTRICT_COMP[],E$1,0),"ERROR")</f>
        <v>60221</v>
      </c>
      <c r="F25" s="223">
        <f>IFERROR(VLOOKUP($B25,MMWR_TRAD_AGG_DISTRICT_COMP[],F$1,0),"ERROR")</f>
        <v>17497</v>
      </c>
      <c r="G25" s="219">
        <f t="shared" si="0"/>
        <v>0.29054648710582687</v>
      </c>
      <c r="H25" s="223">
        <f>IFERROR(VLOOKUP($B25,MMWR_TRAD_AGG_DISTRICT_COMP[],H$1,0),"ERROR")</f>
        <v>76472</v>
      </c>
      <c r="I25" s="223">
        <f>IFERROR(VLOOKUP($B25,MMWR_TRAD_AGG_DISTRICT_COMP[],I$1,0),"ERROR")</f>
        <v>40636</v>
      </c>
      <c r="J25" s="219">
        <f t="shared" si="1"/>
        <v>0.53138403598702788</v>
      </c>
      <c r="K25" s="217">
        <f>IFERROR(VLOOKUP($B25,MMWR_TRAD_AGG_DISTRICT_COMP[],K$1,0),"ERROR")</f>
        <v>10233</v>
      </c>
      <c r="L25" s="217">
        <f>IFERROR(VLOOKUP($B25,MMWR_TRAD_AGG_DISTRICT_COMP[],L$1,0),"ERROR")</f>
        <v>8307</v>
      </c>
      <c r="M25" s="219">
        <f t="shared" si="2"/>
        <v>0.81178540017590151</v>
      </c>
      <c r="N25" s="217">
        <f>IFERROR(VLOOKUP($B25,MMWR_TRAD_AGG_DISTRICT_COMP[],N$1,0),"ERROR")</f>
        <v>22007</v>
      </c>
      <c r="O25" s="217">
        <f>IFERROR(VLOOKUP($B25,MMWR_TRAD_AGG_DISTRICT_COMP[],O$1,0),"ERROR")</f>
        <v>16419</v>
      </c>
      <c r="P25" s="219">
        <f t="shared" si="3"/>
        <v>0.7460807924751216</v>
      </c>
      <c r="Q25" s="217">
        <f>IFERROR(VLOOKUP($B25,MMWR_TRAD_AGG_DISTRICT_COMP[],Q$1,0),"ERROR")</f>
        <v>232</v>
      </c>
      <c r="R25" s="220">
        <f>IFERROR(VLOOKUP($B25,MMWR_TRAD_AGG_DISTRICT_COMP[],R$1,0),"ERROR")</f>
        <v>1209</v>
      </c>
      <c r="S25" s="220">
        <f>IFERROR(VLOOKUP($B25,MMWR_APP_RO[],S$1,0),"ERROR")</f>
        <v>50271</v>
      </c>
      <c r="T25" s="25"/>
    </row>
    <row r="26" spans="1:20" x14ac:dyDescent="0.2">
      <c r="A26" s="108"/>
      <c r="B26" s="109" t="s">
        <v>40</v>
      </c>
      <c r="C26" s="214">
        <f>IFERROR(VLOOKUP($B26,MMWR_TRAD_AGG_RO_COMP[],C$1,0),"ERROR")</f>
        <v>5642</v>
      </c>
      <c r="D26" s="203">
        <f>IFERROR(VLOOKUP($B26,MMWR_TRAD_AGG_RO_COMP[],D$1,0),"ERROR")</f>
        <v>498.17263381779998</v>
      </c>
      <c r="E26" s="200">
        <f>IFERROR(VLOOKUP($B26,MMWR_TRAD_AGG_RO_COMP[],E$1,0),"ERROR")</f>
        <v>7683</v>
      </c>
      <c r="F26" s="196">
        <f>IFERROR(VLOOKUP($B26,MMWR_TRAD_AGG_RO_COMP[],F$1,0),"ERROR")</f>
        <v>2924</v>
      </c>
      <c r="G26" s="221">
        <f t="shared" si="0"/>
        <v>0.38058050240791358</v>
      </c>
      <c r="H26" s="195">
        <f>IFERROR(VLOOKUP($B26,MMWR_TRAD_AGG_RO_COMP[],H$1,0),"ERROR")</f>
        <v>7474</v>
      </c>
      <c r="I26" s="196">
        <f>IFERROR(VLOOKUP($B26,MMWR_TRAD_AGG_RO_COMP[],I$1,0),"ERROR")</f>
        <v>5522</v>
      </c>
      <c r="J26" s="221">
        <f t="shared" si="1"/>
        <v>0.73882793684773884</v>
      </c>
      <c r="K26" s="209">
        <f>IFERROR(VLOOKUP($B26,MMWR_TRAD_AGG_RO_COMP[],K$1,0),"ERROR")</f>
        <v>1410</v>
      </c>
      <c r="L26" s="210">
        <f>IFERROR(VLOOKUP($B26,MMWR_TRAD_AGG_RO_COMP[],L$1,0),"ERROR")</f>
        <v>1308</v>
      </c>
      <c r="M26" s="221">
        <f t="shared" si="2"/>
        <v>0.92765957446808511</v>
      </c>
      <c r="N26" s="209">
        <f>IFERROR(VLOOKUP($B26,MMWR_TRAD_AGG_RO_COMP[],N$1,0),"ERROR")</f>
        <v>3066</v>
      </c>
      <c r="O26" s="210">
        <f>IFERROR(VLOOKUP($B26,MMWR_TRAD_AGG_RO_COMP[],O$1,0),"ERROR")</f>
        <v>2555</v>
      </c>
      <c r="P26" s="221">
        <f t="shared" si="3"/>
        <v>0.83333333333333337</v>
      </c>
      <c r="Q26" s="206">
        <f>IFERROR(VLOOKUP($B26,MMWR_TRAD_AGG_RO_COMP[],Q$1,0),"ERROR")</f>
        <v>0</v>
      </c>
      <c r="R26" s="206">
        <f>IFERROR(VLOOKUP($B26,MMWR_TRAD_AGG_RO_COMP[],R$1,0),"ERROR")</f>
        <v>289</v>
      </c>
      <c r="S26" s="206">
        <f>IFERROR(VLOOKUP($B26,MMWR_APP_RO[],S$1,0),"ERROR")</f>
        <v>7352</v>
      </c>
      <c r="T26" s="25"/>
    </row>
    <row r="27" spans="1:20" x14ac:dyDescent="0.2">
      <c r="A27" s="108"/>
      <c r="B27" s="109" t="s">
        <v>41</v>
      </c>
      <c r="C27" s="214">
        <f>IFERROR(VLOOKUP($B27,MMWR_TRAD_AGG_RO_COMP[],C$1,0),"ERROR")</f>
        <v>9184</v>
      </c>
      <c r="D27" s="203">
        <f>IFERROR(VLOOKUP($B27,MMWR_TRAD_AGG_RO_COMP[],D$1,0),"ERROR")</f>
        <v>539.05966898949998</v>
      </c>
      <c r="E27" s="200">
        <f>IFERROR(VLOOKUP($B27,MMWR_TRAD_AGG_RO_COMP[],E$1,0),"ERROR")</f>
        <v>8298</v>
      </c>
      <c r="F27" s="196">
        <f>IFERROR(VLOOKUP($B27,MMWR_TRAD_AGG_RO_COMP[],F$1,0),"ERROR")</f>
        <v>2432</v>
      </c>
      <c r="G27" s="221">
        <f t="shared" si="0"/>
        <v>0.29308267052301762</v>
      </c>
      <c r="H27" s="195">
        <f>IFERROR(VLOOKUP($B27,MMWR_TRAD_AGG_RO_COMP[],H$1,0),"ERROR")</f>
        <v>11349</v>
      </c>
      <c r="I27" s="196">
        <f>IFERROR(VLOOKUP($B27,MMWR_TRAD_AGG_RO_COMP[],I$1,0),"ERROR")</f>
        <v>9453</v>
      </c>
      <c r="J27" s="221">
        <f t="shared" si="1"/>
        <v>0.83293682262754432</v>
      </c>
      <c r="K27" s="209">
        <f>IFERROR(VLOOKUP($B27,MMWR_TRAD_AGG_RO_COMP[],K$1,0),"ERROR")</f>
        <v>1639</v>
      </c>
      <c r="L27" s="210">
        <f>IFERROR(VLOOKUP($B27,MMWR_TRAD_AGG_RO_COMP[],L$1,0),"ERROR")</f>
        <v>1561</v>
      </c>
      <c r="M27" s="221">
        <f t="shared" si="2"/>
        <v>0.95241000610128124</v>
      </c>
      <c r="N27" s="209">
        <f>IFERROR(VLOOKUP($B27,MMWR_TRAD_AGG_RO_COMP[],N$1,0),"ERROR")</f>
        <v>4951</v>
      </c>
      <c r="O27" s="210">
        <f>IFERROR(VLOOKUP($B27,MMWR_TRAD_AGG_RO_COMP[],O$1,0),"ERROR")</f>
        <v>4000</v>
      </c>
      <c r="P27" s="221">
        <f t="shared" si="3"/>
        <v>0.80791759240557459</v>
      </c>
      <c r="Q27" s="206">
        <f>IFERROR(VLOOKUP($B27,MMWR_TRAD_AGG_RO_COMP[],Q$1,0),"ERROR")</f>
        <v>16</v>
      </c>
      <c r="R27" s="206">
        <f>IFERROR(VLOOKUP($B27,MMWR_TRAD_AGG_RO_COMP[],R$1,0),"ERROR")</f>
        <v>343</v>
      </c>
      <c r="S27" s="206">
        <f>IFERROR(VLOOKUP($B27,MMWR_APP_RO[],S$1,0),"ERROR")</f>
        <v>13453</v>
      </c>
      <c r="T27" s="25"/>
    </row>
    <row r="28" spans="1:20" x14ac:dyDescent="0.2">
      <c r="A28" s="108"/>
      <c r="B28" s="109" t="s">
        <v>44</v>
      </c>
      <c r="C28" s="214">
        <f>IFERROR(VLOOKUP($B28,MMWR_TRAD_AGG_RO_COMP[],C$1,0),"ERROR")</f>
        <v>1345</v>
      </c>
      <c r="D28" s="203">
        <f>IFERROR(VLOOKUP($B28,MMWR_TRAD_AGG_RO_COMP[],D$1,0),"ERROR")</f>
        <v>127.1464684015</v>
      </c>
      <c r="E28" s="200">
        <f>IFERROR(VLOOKUP($B28,MMWR_TRAD_AGG_RO_COMP[],E$1,0),"ERROR")</f>
        <v>2537</v>
      </c>
      <c r="F28" s="196">
        <f>IFERROR(VLOOKUP($B28,MMWR_TRAD_AGG_RO_COMP[],F$1,0),"ERROR")</f>
        <v>681</v>
      </c>
      <c r="G28" s="221">
        <f t="shared" si="0"/>
        <v>0.26842727631060309</v>
      </c>
      <c r="H28" s="195">
        <f>IFERROR(VLOOKUP($B28,MMWR_TRAD_AGG_RO_COMP[],H$1,0),"ERROR")</f>
        <v>2245</v>
      </c>
      <c r="I28" s="196">
        <f>IFERROR(VLOOKUP($B28,MMWR_TRAD_AGG_RO_COMP[],I$1,0),"ERROR")</f>
        <v>808</v>
      </c>
      <c r="J28" s="221">
        <f t="shared" si="1"/>
        <v>0.35991091314031182</v>
      </c>
      <c r="K28" s="209">
        <f>IFERROR(VLOOKUP($B28,MMWR_TRAD_AGG_RO_COMP[],K$1,0),"ERROR")</f>
        <v>207</v>
      </c>
      <c r="L28" s="210">
        <f>IFERROR(VLOOKUP($B28,MMWR_TRAD_AGG_RO_COMP[],L$1,0),"ERROR")</f>
        <v>160</v>
      </c>
      <c r="M28" s="221">
        <f t="shared" si="2"/>
        <v>0.77294685990338163</v>
      </c>
      <c r="N28" s="209">
        <f>IFERROR(VLOOKUP($B28,MMWR_TRAD_AGG_RO_COMP[],N$1,0),"ERROR")</f>
        <v>2848</v>
      </c>
      <c r="O28" s="210">
        <f>IFERROR(VLOOKUP($B28,MMWR_TRAD_AGG_RO_COMP[],O$1,0),"ERROR")</f>
        <v>1849</v>
      </c>
      <c r="P28" s="221">
        <f t="shared" si="3"/>
        <v>0.6492275280898876</v>
      </c>
      <c r="Q28" s="206">
        <f>IFERROR(VLOOKUP($B28,MMWR_TRAD_AGG_RO_COMP[],Q$1,0),"ERROR")</f>
        <v>0</v>
      </c>
      <c r="R28" s="206">
        <f>IFERROR(VLOOKUP($B28,MMWR_TRAD_AGG_RO_COMP[],R$1,0),"ERROR")</f>
        <v>13</v>
      </c>
      <c r="S28" s="206">
        <f>IFERROR(VLOOKUP($B28,MMWR_APP_RO[],S$1,0),"ERROR")</f>
        <v>1145</v>
      </c>
      <c r="T28" s="25"/>
    </row>
    <row r="29" spans="1:20" x14ac:dyDescent="0.2">
      <c r="A29" s="108"/>
      <c r="B29" s="109" t="s">
        <v>45</v>
      </c>
      <c r="C29" s="214">
        <f>IFERROR(VLOOKUP($B29,MMWR_TRAD_AGG_RO_COMP[],C$1,0),"ERROR")</f>
        <v>2699</v>
      </c>
      <c r="D29" s="203">
        <f>IFERROR(VLOOKUP($B29,MMWR_TRAD_AGG_RO_COMP[],D$1,0),"ERROR")</f>
        <v>242.58725453869999</v>
      </c>
      <c r="E29" s="200">
        <f>IFERROR(VLOOKUP($B29,MMWR_TRAD_AGG_RO_COMP[],E$1,0),"ERROR")</f>
        <v>8140</v>
      </c>
      <c r="F29" s="196">
        <f>IFERROR(VLOOKUP($B29,MMWR_TRAD_AGG_RO_COMP[],F$1,0),"ERROR")</f>
        <v>2391</v>
      </c>
      <c r="G29" s="221">
        <f t="shared" si="0"/>
        <v>0.29373464373464375</v>
      </c>
      <c r="H29" s="195">
        <f>IFERROR(VLOOKUP($B29,MMWR_TRAD_AGG_RO_COMP[],H$1,0),"ERROR")</f>
        <v>4963</v>
      </c>
      <c r="I29" s="196">
        <f>IFERROR(VLOOKUP($B29,MMWR_TRAD_AGG_RO_COMP[],I$1,0),"ERROR")</f>
        <v>2608</v>
      </c>
      <c r="J29" s="221">
        <f t="shared" si="1"/>
        <v>0.52548861575659878</v>
      </c>
      <c r="K29" s="209">
        <f>IFERROR(VLOOKUP($B29,MMWR_TRAD_AGG_RO_COMP[],K$1,0),"ERROR")</f>
        <v>753</v>
      </c>
      <c r="L29" s="210">
        <f>IFERROR(VLOOKUP($B29,MMWR_TRAD_AGG_RO_COMP[],L$1,0),"ERROR")</f>
        <v>637</v>
      </c>
      <c r="M29" s="221">
        <f t="shared" si="2"/>
        <v>0.84594953519256311</v>
      </c>
      <c r="N29" s="209">
        <f>IFERROR(VLOOKUP($B29,MMWR_TRAD_AGG_RO_COMP[],N$1,0),"ERROR")</f>
        <v>900</v>
      </c>
      <c r="O29" s="210">
        <f>IFERROR(VLOOKUP($B29,MMWR_TRAD_AGG_RO_COMP[],O$1,0),"ERROR")</f>
        <v>689</v>
      </c>
      <c r="P29" s="221">
        <f t="shared" si="3"/>
        <v>0.76555555555555554</v>
      </c>
      <c r="Q29" s="206">
        <f>IFERROR(VLOOKUP($B29,MMWR_TRAD_AGG_RO_COMP[],Q$1,0),"ERROR")</f>
        <v>2</v>
      </c>
      <c r="R29" s="206">
        <f>IFERROR(VLOOKUP($B29,MMWR_TRAD_AGG_RO_COMP[],R$1,0),"ERROR")</f>
        <v>203</v>
      </c>
      <c r="S29" s="206">
        <f>IFERROR(VLOOKUP($B29,MMWR_APP_RO[],S$1,0),"ERROR")</f>
        <v>6212</v>
      </c>
      <c r="T29" s="25"/>
    </row>
    <row r="30" spans="1:20" x14ac:dyDescent="0.2">
      <c r="A30" s="108"/>
      <c r="B30" s="109" t="s">
        <v>46</v>
      </c>
      <c r="C30" s="214">
        <f>IFERROR(VLOOKUP($B30,MMWR_TRAD_AGG_RO_COMP[],C$1,0),"ERROR")</f>
        <v>228</v>
      </c>
      <c r="D30" s="203">
        <f>IFERROR(VLOOKUP($B30,MMWR_TRAD_AGG_RO_COMP[],D$1,0),"ERROR")</f>
        <v>78.4122807018</v>
      </c>
      <c r="E30" s="200">
        <f>IFERROR(VLOOKUP($B30,MMWR_TRAD_AGG_RO_COMP[],E$1,0),"ERROR")</f>
        <v>899</v>
      </c>
      <c r="F30" s="196">
        <f>IFERROR(VLOOKUP($B30,MMWR_TRAD_AGG_RO_COMP[],F$1,0),"ERROR")</f>
        <v>214</v>
      </c>
      <c r="G30" s="221">
        <f t="shared" si="0"/>
        <v>0.23804226918798665</v>
      </c>
      <c r="H30" s="195">
        <f>IFERROR(VLOOKUP($B30,MMWR_TRAD_AGG_RO_COMP[],H$1,0),"ERROR")</f>
        <v>682</v>
      </c>
      <c r="I30" s="196">
        <f>IFERROR(VLOOKUP($B30,MMWR_TRAD_AGG_RO_COMP[],I$1,0),"ERROR")</f>
        <v>44</v>
      </c>
      <c r="J30" s="221">
        <f t="shared" si="1"/>
        <v>6.4516129032258063E-2</v>
      </c>
      <c r="K30" s="209">
        <f>IFERROR(VLOOKUP($B30,MMWR_TRAD_AGG_RO_COMP[],K$1,0),"ERROR")</f>
        <v>42</v>
      </c>
      <c r="L30" s="210">
        <f>IFERROR(VLOOKUP($B30,MMWR_TRAD_AGG_RO_COMP[],L$1,0),"ERROR")</f>
        <v>11</v>
      </c>
      <c r="M30" s="221">
        <f t="shared" si="2"/>
        <v>0.26190476190476192</v>
      </c>
      <c r="N30" s="209">
        <f>IFERROR(VLOOKUP($B30,MMWR_TRAD_AGG_RO_COMP[],N$1,0),"ERROR")</f>
        <v>43</v>
      </c>
      <c r="O30" s="210">
        <f>IFERROR(VLOOKUP($B30,MMWR_TRAD_AGG_RO_COMP[],O$1,0),"ERROR")</f>
        <v>20</v>
      </c>
      <c r="P30" s="221">
        <f t="shared" si="3"/>
        <v>0.46511627906976744</v>
      </c>
      <c r="Q30" s="206">
        <f>IFERROR(VLOOKUP($B30,MMWR_TRAD_AGG_RO_COMP[],Q$1,0),"ERROR")</f>
        <v>0</v>
      </c>
      <c r="R30" s="206">
        <f>IFERROR(VLOOKUP($B30,MMWR_TRAD_AGG_RO_COMP[],R$1,0),"ERROR")</f>
        <v>1</v>
      </c>
      <c r="S30" s="206">
        <f>IFERROR(VLOOKUP($B30,MMWR_APP_RO[],S$1,0),"ERROR")</f>
        <v>457</v>
      </c>
      <c r="T30" s="25"/>
    </row>
    <row r="31" spans="1:20" x14ac:dyDescent="0.2">
      <c r="A31" s="108"/>
      <c r="B31" s="109" t="s">
        <v>51</v>
      </c>
      <c r="C31" s="214">
        <f>IFERROR(VLOOKUP($B31,MMWR_TRAD_AGG_RO_COMP[],C$1,0),"ERROR")</f>
        <v>8271</v>
      </c>
      <c r="D31" s="203">
        <f>IFERROR(VLOOKUP($B31,MMWR_TRAD_AGG_RO_COMP[],D$1,0),"ERROR")</f>
        <v>488.5171079676</v>
      </c>
      <c r="E31" s="200">
        <f>IFERROR(VLOOKUP($B31,MMWR_TRAD_AGG_RO_COMP[],E$1,0),"ERROR")</f>
        <v>5370</v>
      </c>
      <c r="F31" s="196">
        <f>IFERROR(VLOOKUP($B31,MMWR_TRAD_AGG_RO_COMP[],F$1,0),"ERROR")</f>
        <v>1943</v>
      </c>
      <c r="G31" s="221">
        <f t="shared" si="0"/>
        <v>0.36182495344506516</v>
      </c>
      <c r="H31" s="195">
        <f>IFERROR(VLOOKUP($B31,MMWR_TRAD_AGG_RO_COMP[],H$1,0),"ERROR")</f>
        <v>13790</v>
      </c>
      <c r="I31" s="196">
        <f>IFERROR(VLOOKUP($B31,MMWR_TRAD_AGG_RO_COMP[],I$1,0),"ERROR")</f>
        <v>7840</v>
      </c>
      <c r="J31" s="221">
        <f t="shared" si="1"/>
        <v>0.56852791878172593</v>
      </c>
      <c r="K31" s="209">
        <f>IFERROR(VLOOKUP($B31,MMWR_TRAD_AGG_RO_COMP[],K$1,0),"ERROR")</f>
        <v>1111</v>
      </c>
      <c r="L31" s="210">
        <f>IFERROR(VLOOKUP($B31,MMWR_TRAD_AGG_RO_COMP[],L$1,0),"ERROR")</f>
        <v>982</v>
      </c>
      <c r="M31" s="221">
        <f t="shared" si="2"/>
        <v>0.88388838883888388</v>
      </c>
      <c r="N31" s="209">
        <f>IFERROR(VLOOKUP($B31,MMWR_TRAD_AGG_RO_COMP[],N$1,0),"ERROR")</f>
        <v>1771</v>
      </c>
      <c r="O31" s="210">
        <f>IFERROR(VLOOKUP($B31,MMWR_TRAD_AGG_RO_COMP[],O$1,0),"ERROR")</f>
        <v>1254</v>
      </c>
      <c r="P31" s="221">
        <f t="shared" si="3"/>
        <v>0.70807453416149069</v>
      </c>
      <c r="Q31" s="206">
        <f>IFERROR(VLOOKUP($B31,MMWR_TRAD_AGG_RO_COMP[],Q$1,0),"ERROR")</f>
        <v>3</v>
      </c>
      <c r="R31" s="206">
        <f>IFERROR(VLOOKUP($B31,MMWR_TRAD_AGG_RO_COMP[],R$1,0),"ERROR")</f>
        <v>205</v>
      </c>
      <c r="S31" s="206">
        <f>IFERROR(VLOOKUP($B31,MMWR_APP_RO[],S$1,0),"ERROR")</f>
        <v>7935</v>
      </c>
      <c r="T31" s="25"/>
    </row>
    <row r="32" spans="1:20" x14ac:dyDescent="0.2">
      <c r="A32" s="108"/>
      <c r="B32" s="109" t="s">
        <v>53</v>
      </c>
      <c r="C32" s="214">
        <f>IFERROR(VLOOKUP($B32,MMWR_TRAD_AGG_RO_COMP[],C$1,0),"ERROR")</f>
        <v>2748</v>
      </c>
      <c r="D32" s="203">
        <f>IFERROR(VLOOKUP($B32,MMWR_TRAD_AGG_RO_COMP[],D$1,0),"ERROR")</f>
        <v>111.1073508006</v>
      </c>
      <c r="E32" s="200">
        <f>IFERROR(VLOOKUP($B32,MMWR_TRAD_AGG_RO_COMP[],E$1,0),"ERROR")</f>
        <v>2118</v>
      </c>
      <c r="F32" s="196">
        <f>IFERROR(VLOOKUP($B32,MMWR_TRAD_AGG_RO_COMP[],F$1,0),"ERROR")</f>
        <v>377</v>
      </c>
      <c r="G32" s="221">
        <f t="shared" si="0"/>
        <v>0.17799811142587346</v>
      </c>
      <c r="H32" s="195">
        <f>IFERROR(VLOOKUP($B32,MMWR_TRAD_AGG_RO_COMP[],H$1,0),"ERROR")</f>
        <v>5273</v>
      </c>
      <c r="I32" s="196">
        <f>IFERROR(VLOOKUP($B32,MMWR_TRAD_AGG_RO_COMP[],I$1,0),"ERROR")</f>
        <v>1301</v>
      </c>
      <c r="J32" s="221">
        <f t="shared" si="1"/>
        <v>0.24672861748530248</v>
      </c>
      <c r="K32" s="209">
        <f>IFERROR(VLOOKUP($B32,MMWR_TRAD_AGG_RO_COMP[],K$1,0),"ERROR")</f>
        <v>623</v>
      </c>
      <c r="L32" s="210">
        <f>IFERROR(VLOOKUP($B32,MMWR_TRAD_AGG_RO_COMP[],L$1,0),"ERROR")</f>
        <v>511</v>
      </c>
      <c r="M32" s="221">
        <f t="shared" si="2"/>
        <v>0.8202247191011236</v>
      </c>
      <c r="N32" s="209">
        <f>IFERROR(VLOOKUP($B32,MMWR_TRAD_AGG_RO_COMP[],N$1,0),"ERROR")</f>
        <v>512</v>
      </c>
      <c r="O32" s="210">
        <f>IFERROR(VLOOKUP($B32,MMWR_TRAD_AGG_RO_COMP[],O$1,0),"ERROR")</f>
        <v>398</v>
      </c>
      <c r="P32" s="221">
        <f t="shared" si="3"/>
        <v>0.77734375</v>
      </c>
      <c r="Q32" s="206">
        <f>IFERROR(VLOOKUP($B32,MMWR_TRAD_AGG_RO_COMP[],Q$1,0),"ERROR")</f>
        <v>0</v>
      </c>
      <c r="R32" s="206">
        <f>IFERROR(VLOOKUP($B32,MMWR_TRAD_AGG_RO_COMP[],R$1,0),"ERROR")</f>
        <v>14</v>
      </c>
      <c r="S32" s="206">
        <f>IFERROR(VLOOKUP($B32,MMWR_APP_RO[],S$1,0),"ERROR")</f>
        <v>1400</v>
      </c>
      <c r="T32" s="25"/>
    </row>
    <row r="33" spans="1:20" x14ac:dyDescent="0.2">
      <c r="A33" s="108"/>
      <c r="B33" s="109" t="s">
        <v>59</v>
      </c>
      <c r="C33" s="214">
        <f>IFERROR(VLOOKUP($B33,MMWR_TRAD_AGG_RO_COMP[],C$1,0),"ERROR")</f>
        <v>5776</v>
      </c>
      <c r="D33" s="203">
        <f>IFERROR(VLOOKUP($B33,MMWR_TRAD_AGG_RO_COMP[],D$1,0),"ERROR")</f>
        <v>211.7612534626</v>
      </c>
      <c r="E33" s="200">
        <f>IFERROR(VLOOKUP($B33,MMWR_TRAD_AGG_RO_COMP[],E$1,0),"ERROR")</f>
        <v>5823</v>
      </c>
      <c r="F33" s="196">
        <f>IFERROR(VLOOKUP($B33,MMWR_TRAD_AGG_RO_COMP[],F$1,0),"ERROR")</f>
        <v>1355</v>
      </c>
      <c r="G33" s="221">
        <f t="shared" si="0"/>
        <v>0.23269792203331616</v>
      </c>
      <c r="H33" s="195">
        <f>IFERROR(VLOOKUP($B33,MMWR_TRAD_AGG_RO_COMP[],H$1,0),"ERROR")</f>
        <v>8244</v>
      </c>
      <c r="I33" s="196">
        <f>IFERROR(VLOOKUP($B33,MMWR_TRAD_AGG_RO_COMP[],I$1,0),"ERROR")</f>
        <v>3827</v>
      </c>
      <c r="J33" s="221">
        <f t="shared" si="1"/>
        <v>0.46421639980591944</v>
      </c>
      <c r="K33" s="209">
        <f>IFERROR(VLOOKUP($B33,MMWR_TRAD_AGG_RO_COMP[],K$1,0),"ERROR")</f>
        <v>293</v>
      </c>
      <c r="L33" s="210">
        <f>IFERROR(VLOOKUP($B33,MMWR_TRAD_AGG_RO_COMP[],L$1,0),"ERROR")</f>
        <v>211</v>
      </c>
      <c r="M33" s="221">
        <f t="shared" si="2"/>
        <v>0.72013651877133111</v>
      </c>
      <c r="N33" s="209">
        <f>IFERROR(VLOOKUP($B33,MMWR_TRAD_AGG_RO_COMP[],N$1,0),"ERROR")</f>
        <v>327</v>
      </c>
      <c r="O33" s="210">
        <f>IFERROR(VLOOKUP($B33,MMWR_TRAD_AGG_RO_COMP[],O$1,0),"ERROR")</f>
        <v>145</v>
      </c>
      <c r="P33" s="221">
        <f t="shared" si="3"/>
        <v>0.44342507645259938</v>
      </c>
      <c r="Q33" s="206">
        <f>IFERROR(VLOOKUP($B33,MMWR_TRAD_AGG_RO_COMP[],Q$1,0),"ERROR")</f>
        <v>151</v>
      </c>
      <c r="R33" s="206">
        <f>IFERROR(VLOOKUP($B33,MMWR_TRAD_AGG_RO_COMP[],R$1,0),"ERROR")</f>
        <v>0</v>
      </c>
      <c r="S33" s="206">
        <f>IFERROR(VLOOKUP($B33,MMWR_APP_RO[],S$1,0),"ERROR")</f>
        <v>2837</v>
      </c>
      <c r="T33" s="25"/>
    </row>
    <row r="34" spans="1:20" x14ac:dyDescent="0.2">
      <c r="A34" s="108"/>
      <c r="B34" s="109" t="s">
        <v>77</v>
      </c>
      <c r="C34" s="214">
        <f>IFERROR(VLOOKUP($B34,MMWR_TRAD_AGG_RO_COMP[],C$1,0),"ERROR")</f>
        <v>929</v>
      </c>
      <c r="D34" s="203">
        <f>IFERROR(VLOOKUP($B34,MMWR_TRAD_AGG_RO_COMP[],D$1,0),"ERROR")</f>
        <v>53.539289558699998</v>
      </c>
      <c r="E34" s="200">
        <f>IFERROR(VLOOKUP($B34,MMWR_TRAD_AGG_RO_COMP[],E$1,0),"ERROR")</f>
        <v>904</v>
      </c>
      <c r="F34" s="196">
        <f>IFERROR(VLOOKUP($B34,MMWR_TRAD_AGG_RO_COMP[],F$1,0),"ERROR")</f>
        <v>248</v>
      </c>
      <c r="G34" s="221">
        <f t="shared" si="0"/>
        <v>0.27433628318584069</v>
      </c>
      <c r="H34" s="195">
        <f>IFERROR(VLOOKUP($B34,MMWR_TRAD_AGG_RO_COMP[],H$1,0),"ERROR")</f>
        <v>1110</v>
      </c>
      <c r="I34" s="196">
        <f>IFERROR(VLOOKUP($B34,MMWR_TRAD_AGG_RO_COMP[],I$1,0),"ERROR")</f>
        <v>103</v>
      </c>
      <c r="J34" s="221">
        <f t="shared" si="1"/>
        <v>9.2792792792792789E-2</v>
      </c>
      <c r="K34" s="209">
        <f>IFERROR(VLOOKUP($B34,MMWR_TRAD_AGG_RO_COMP[],K$1,0),"ERROR")</f>
        <v>865</v>
      </c>
      <c r="L34" s="210">
        <f>IFERROR(VLOOKUP($B34,MMWR_TRAD_AGG_RO_COMP[],L$1,0),"ERROR")</f>
        <v>100</v>
      </c>
      <c r="M34" s="221">
        <f t="shared" si="2"/>
        <v>0.11560693641618497</v>
      </c>
      <c r="N34" s="209">
        <f>IFERROR(VLOOKUP($B34,MMWR_TRAD_AGG_RO_COMP[],N$1,0),"ERROR")</f>
        <v>31</v>
      </c>
      <c r="O34" s="210">
        <f>IFERROR(VLOOKUP($B34,MMWR_TRAD_AGG_RO_COMP[],O$1,0),"ERROR")</f>
        <v>14</v>
      </c>
      <c r="P34" s="221">
        <f t="shared" si="3"/>
        <v>0.45161290322580644</v>
      </c>
      <c r="Q34" s="206">
        <f>IFERROR(VLOOKUP($B34,MMWR_TRAD_AGG_RO_COMP[],Q$1,0),"ERROR")</f>
        <v>0</v>
      </c>
      <c r="R34" s="206">
        <f>IFERROR(VLOOKUP($B34,MMWR_TRAD_AGG_RO_COMP[],R$1,0),"ERROR")</f>
        <v>2</v>
      </c>
      <c r="S34" s="206">
        <f>IFERROR(VLOOKUP($B34,MMWR_APP_RO[],S$1,0),"ERROR")</f>
        <v>224</v>
      </c>
      <c r="T34" s="25"/>
    </row>
    <row r="35" spans="1:20" x14ac:dyDescent="0.2">
      <c r="A35" s="108"/>
      <c r="B35" s="109" t="s">
        <v>78</v>
      </c>
      <c r="C35" s="214">
        <f>IFERROR(VLOOKUP($B35,MMWR_TRAD_AGG_RO_COMP[],C$1,0),"ERROR")</f>
        <v>4712</v>
      </c>
      <c r="D35" s="203">
        <f>IFERROR(VLOOKUP($B35,MMWR_TRAD_AGG_RO_COMP[],D$1,0),"ERROR")</f>
        <v>267.06387945670002</v>
      </c>
      <c r="E35" s="200">
        <f>IFERROR(VLOOKUP($B35,MMWR_TRAD_AGG_RO_COMP[],E$1,0),"ERROR")</f>
        <v>5529</v>
      </c>
      <c r="F35" s="196">
        <f>IFERROR(VLOOKUP($B35,MMWR_TRAD_AGG_RO_COMP[],F$1,0),"ERROR")</f>
        <v>1769</v>
      </c>
      <c r="G35" s="221">
        <f t="shared" si="0"/>
        <v>0.31994935793090973</v>
      </c>
      <c r="H35" s="195">
        <f>IFERROR(VLOOKUP($B35,MMWR_TRAD_AGG_RO_COMP[],H$1,0),"ERROR")</f>
        <v>7530</v>
      </c>
      <c r="I35" s="196">
        <f>IFERROR(VLOOKUP($B35,MMWR_TRAD_AGG_RO_COMP[],I$1,0),"ERROR")</f>
        <v>4763</v>
      </c>
      <c r="J35" s="221">
        <f t="shared" si="1"/>
        <v>0.6325365205843293</v>
      </c>
      <c r="K35" s="209">
        <f>IFERROR(VLOOKUP($B35,MMWR_TRAD_AGG_RO_COMP[],K$1,0),"ERROR")</f>
        <v>2424</v>
      </c>
      <c r="L35" s="210">
        <f>IFERROR(VLOOKUP($B35,MMWR_TRAD_AGG_RO_COMP[],L$1,0),"ERROR")</f>
        <v>2294</v>
      </c>
      <c r="M35" s="221">
        <f t="shared" si="2"/>
        <v>0.94636963696369636</v>
      </c>
      <c r="N35" s="209">
        <f>IFERROR(VLOOKUP($B35,MMWR_TRAD_AGG_RO_COMP[],N$1,0),"ERROR")</f>
        <v>5905</v>
      </c>
      <c r="O35" s="210">
        <f>IFERROR(VLOOKUP($B35,MMWR_TRAD_AGG_RO_COMP[],O$1,0),"ERROR")</f>
        <v>4670</v>
      </c>
      <c r="P35" s="221">
        <f t="shared" si="3"/>
        <v>0.79085520745131244</v>
      </c>
      <c r="Q35" s="206">
        <f>IFERROR(VLOOKUP($B35,MMWR_TRAD_AGG_RO_COMP[],Q$1,0),"ERROR")</f>
        <v>45</v>
      </c>
      <c r="R35" s="206">
        <f>IFERROR(VLOOKUP($B35,MMWR_TRAD_AGG_RO_COMP[],R$1,0),"ERROR")</f>
        <v>128</v>
      </c>
      <c r="S35" s="206">
        <f>IFERROR(VLOOKUP($B35,MMWR_APP_RO[],S$1,0),"ERROR")</f>
        <v>6101</v>
      </c>
      <c r="T35" s="25"/>
    </row>
    <row r="36" spans="1:20" x14ac:dyDescent="0.2">
      <c r="A36" s="28"/>
      <c r="B36" s="109" t="s">
        <v>79</v>
      </c>
      <c r="C36" s="224">
        <f>IFERROR(VLOOKUP($B36,MMWR_TRAD_AGG_RO_COMP[],C$1,0),"ERROR")</f>
        <v>6363</v>
      </c>
      <c r="D36" s="225">
        <f>IFERROR(VLOOKUP($B36,MMWR_TRAD_AGG_RO_COMP[],D$1,0),"ERROR")</f>
        <v>152.14568599719999</v>
      </c>
      <c r="E36" s="226">
        <f>IFERROR(VLOOKUP($B36,MMWR_TRAD_AGG_RO_COMP[],E$1,0),"ERROR")</f>
        <v>10333</v>
      </c>
      <c r="F36" s="227">
        <f>IFERROR(VLOOKUP($B36,MMWR_TRAD_AGG_RO_COMP[],F$1,0),"ERROR")</f>
        <v>2423</v>
      </c>
      <c r="G36" s="228">
        <f t="shared" si="0"/>
        <v>0.23449143520758733</v>
      </c>
      <c r="H36" s="229">
        <f>IFERROR(VLOOKUP($B36,MMWR_TRAD_AGG_RO_COMP[],H$1,0),"ERROR")</f>
        <v>11094</v>
      </c>
      <c r="I36" s="227">
        <f>IFERROR(VLOOKUP($B36,MMWR_TRAD_AGG_RO_COMP[],I$1,0),"ERROR")</f>
        <v>3396</v>
      </c>
      <c r="J36" s="228">
        <f t="shared" si="1"/>
        <v>0.30611141157382371</v>
      </c>
      <c r="K36" s="230">
        <f>IFERROR(VLOOKUP($B36,MMWR_TRAD_AGG_RO_COMP[],K$1,0),"ERROR")</f>
        <v>583</v>
      </c>
      <c r="L36" s="231">
        <f>IFERROR(VLOOKUP($B36,MMWR_TRAD_AGG_RO_COMP[],L$1,0),"ERROR")</f>
        <v>383</v>
      </c>
      <c r="M36" s="228">
        <f t="shared" si="2"/>
        <v>0.65694682675814753</v>
      </c>
      <c r="N36" s="230">
        <f>IFERROR(VLOOKUP($B36,MMWR_TRAD_AGG_RO_COMP[],N$1,0),"ERROR")</f>
        <v>1502</v>
      </c>
      <c r="O36" s="231">
        <f>IFERROR(VLOOKUP($B36,MMWR_TRAD_AGG_RO_COMP[],O$1,0),"ERROR")</f>
        <v>712</v>
      </c>
      <c r="P36" s="228">
        <f t="shared" si="3"/>
        <v>0.47403462050599199</v>
      </c>
      <c r="Q36" s="232">
        <f>IFERROR(VLOOKUP($B36,MMWR_TRAD_AGG_RO_COMP[],Q$1,0),"ERROR")</f>
        <v>15</v>
      </c>
      <c r="R36" s="232">
        <f>IFERROR(VLOOKUP($B36,MMWR_TRAD_AGG_RO_COMP[],R$1,0),"ERROR")</f>
        <v>0</v>
      </c>
      <c r="S36" s="206">
        <f>IFERROR(VLOOKUP($B36,MMWR_APP_RO[],S$1,0),"ERROR")</f>
        <v>1788</v>
      </c>
      <c r="T36" s="28"/>
    </row>
    <row r="37" spans="1:20" x14ac:dyDescent="0.2">
      <c r="A37" s="28"/>
      <c r="B37" s="117" t="s">
        <v>84</v>
      </c>
      <c r="C37" s="233">
        <f>IFERROR(VLOOKUP($B37,MMWR_TRAD_AGG_RO_COMP[],C$1,0),"ERROR")</f>
        <v>1836</v>
      </c>
      <c r="D37" s="234">
        <f>IFERROR(VLOOKUP($B37,MMWR_TRAD_AGG_RO_COMP[],D$1,0),"ERROR")</f>
        <v>112.1492374728</v>
      </c>
      <c r="E37" s="235">
        <f>IFERROR(VLOOKUP($B37,MMWR_TRAD_AGG_RO_COMP[],E$1,0),"ERROR")</f>
        <v>2587</v>
      </c>
      <c r="F37" s="236">
        <f>IFERROR(VLOOKUP($B37,MMWR_TRAD_AGG_RO_COMP[],F$1,0),"ERROR")</f>
        <v>740</v>
      </c>
      <c r="G37" s="237">
        <f t="shared" si="0"/>
        <v>0.28604561267877848</v>
      </c>
      <c r="H37" s="238">
        <f>IFERROR(VLOOKUP($B37,MMWR_TRAD_AGG_RO_COMP[],H$1,0),"ERROR")</f>
        <v>2718</v>
      </c>
      <c r="I37" s="236">
        <f>IFERROR(VLOOKUP($B37,MMWR_TRAD_AGG_RO_COMP[],I$1,0),"ERROR")</f>
        <v>971</v>
      </c>
      <c r="J37" s="237">
        <f t="shared" si="1"/>
        <v>0.35724797645327444</v>
      </c>
      <c r="K37" s="239">
        <f>IFERROR(VLOOKUP($B37,MMWR_TRAD_AGG_RO_COMP[],K$1,0),"ERROR")</f>
        <v>283</v>
      </c>
      <c r="L37" s="240">
        <f>IFERROR(VLOOKUP($B37,MMWR_TRAD_AGG_RO_COMP[],L$1,0),"ERROR")</f>
        <v>149</v>
      </c>
      <c r="M37" s="237">
        <f t="shared" si="2"/>
        <v>0.52650176678445226</v>
      </c>
      <c r="N37" s="239">
        <f>IFERROR(VLOOKUP($B37,MMWR_TRAD_AGG_RO_COMP[],N$1,0),"ERROR")</f>
        <v>151</v>
      </c>
      <c r="O37" s="240">
        <f>IFERROR(VLOOKUP($B37,MMWR_TRAD_AGG_RO_COMP[],O$1,0),"ERROR")</f>
        <v>113</v>
      </c>
      <c r="P37" s="237">
        <f t="shared" si="3"/>
        <v>0.7483443708609272</v>
      </c>
      <c r="Q37" s="241">
        <f>IFERROR(VLOOKUP($B37,MMWR_TRAD_AGG_RO_COMP[],Q$1,0),"ERROR")</f>
        <v>0</v>
      </c>
      <c r="R37" s="241">
        <f>IFERROR(VLOOKUP($B37,MMWR_TRAD_AGG_RO_COMP[],R$1,0),"ERROR")</f>
        <v>11</v>
      </c>
      <c r="S37" s="206">
        <f>IFERROR(VLOOKUP($B37,MMWR_APP_RO[],S$1,0),"ERROR")</f>
        <v>1367</v>
      </c>
      <c r="T37" s="28"/>
    </row>
    <row r="38" spans="1:20" x14ac:dyDescent="0.2">
      <c r="A38" s="28"/>
      <c r="B38" s="102" t="s">
        <v>395</v>
      </c>
      <c r="C38" s="217">
        <f>IFERROR(VLOOKUP($B38,MMWR_TRAD_AGG_DISTRICT_COMP[],C$1,0),"ERROR")</f>
        <v>63127</v>
      </c>
      <c r="D38" s="202">
        <f>IFERROR(VLOOKUP($B38,MMWR_TRAD_AGG_DISTRICT_COMP[],D$1,0),"ERROR")</f>
        <v>322.50498202040001</v>
      </c>
      <c r="E38" s="218">
        <f>IFERROR(VLOOKUP($B38,MMWR_TRAD_AGG_DISTRICT_COMP[],E$1,0),"ERROR")</f>
        <v>74140</v>
      </c>
      <c r="F38" s="223">
        <f>IFERROR(VLOOKUP($B38,MMWR_TRAD_AGG_DISTRICT_COMP[],F$1,0),"ERROR")</f>
        <v>27282</v>
      </c>
      <c r="G38" s="219">
        <f t="shared" si="0"/>
        <v>0.36797949824656057</v>
      </c>
      <c r="H38" s="223">
        <f>IFERROR(VLOOKUP($B38,MMWR_TRAD_AGG_DISTRICT_COMP[],H$1,0),"ERROR")</f>
        <v>90365</v>
      </c>
      <c r="I38" s="223">
        <f>IFERROR(VLOOKUP($B38,MMWR_TRAD_AGG_DISTRICT_COMP[],I$1,0),"ERROR")</f>
        <v>51928</v>
      </c>
      <c r="J38" s="219">
        <f t="shared" si="1"/>
        <v>0.57464726387428766</v>
      </c>
      <c r="K38" s="217">
        <f>IFERROR(VLOOKUP($B38,MMWR_TRAD_AGG_DISTRICT_COMP[],K$1,0),"ERROR")</f>
        <v>12447</v>
      </c>
      <c r="L38" s="217">
        <f>IFERROR(VLOOKUP($B38,MMWR_TRAD_AGG_DISTRICT_COMP[],L$1,0),"ERROR")</f>
        <v>9217</v>
      </c>
      <c r="M38" s="219">
        <f t="shared" si="2"/>
        <v>0.74049971880774479</v>
      </c>
      <c r="N38" s="217">
        <f>IFERROR(VLOOKUP($B38,MMWR_TRAD_AGG_DISTRICT_COMP[],N$1,0),"ERROR")</f>
        <v>28587</v>
      </c>
      <c r="O38" s="217">
        <f>IFERROR(VLOOKUP($B38,MMWR_TRAD_AGG_DISTRICT_COMP[],O$1,0),"ERROR")</f>
        <v>21665</v>
      </c>
      <c r="P38" s="219">
        <f t="shared" si="3"/>
        <v>0.75786196522895022</v>
      </c>
      <c r="Q38" s="217">
        <f>IFERROR(VLOOKUP($B38,MMWR_TRAD_AGG_DISTRICT_COMP[],Q$1,0),"ERROR")</f>
        <v>112</v>
      </c>
      <c r="R38" s="220">
        <f>IFERROR(VLOOKUP($B38,MMWR_TRAD_AGG_DISTRICT_COMP[],R$1,0),"ERROR")</f>
        <v>1259</v>
      </c>
      <c r="S38" s="220">
        <f>IFERROR(VLOOKUP($B38,MMWR_APP_RO[],S$1,0),"ERROR")</f>
        <v>62999</v>
      </c>
      <c r="T38" s="28"/>
    </row>
    <row r="39" spans="1:20" x14ac:dyDescent="0.2">
      <c r="A39" s="28"/>
      <c r="B39" s="109" t="s">
        <v>39</v>
      </c>
      <c r="C39" s="224">
        <f>IFERROR(VLOOKUP($B39,MMWR_TRAD_AGG_RO_COMP[],C$1,0),"ERROR")</f>
        <v>518</v>
      </c>
      <c r="D39" s="225">
        <f>IFERROR(VLOOKUP($B39,MMWR_TRAD_AGG_RO_COMP[],D$1,0),"ERROR")</f>
        <v>259.61003861</v>
      </c>
      <c r="E39" s="226">
        <f>IFERROR(VLOOKUP($B39,MMWR_TRAD_AGG_RO_COMP[],E$1,0),"ERROR")</f>
        <v>905</v>
      </c>
      <c r="F39" s="227">
        <f>IFERROR(VLOOKUP($B39,MMWR_TRAD_AGG_RO_COMP[],F$1,0),"ERROR")</f>
        <v>188</v>
      </c>
      <c r="G39" s="228">
        <f t="shared" si="0"/>
        <v>0.20773480662983426</v>
      </c>
      <c r="H39" s="229">
        <f>IFERROR(VLOOKUP($B39,MMWR_TRAD_AGG_RO_COMP[],H$1,0),"ERROR")</f>
        <v>861</v>
      </c>
      <c r="I39" s="227">
        <f>IFERROR(VLOOKUP($B39,MMWR_TRAD_AGG_RO_COMP[],I$1,0),"ERROR")</f>
        <v>389</v>
      </c>
      <c r="J39" s="228">
        <f t="shared" si="1"/>
        <v>0.45180023228803717</v>
      </c>
      <c r="K39" s="230">
        <f>IFERROR(VLOOKUP($B39,MMWR_TRAD_AGG_RO_COMP[],K$1,0),"ERROR")</f>
        <v>147</v>
      </c>
      <c r="L39" s="231">
        <f>IFERROR(VLOOKUP($B39,MMWR_TRAD_AGG_RO_COMP[],L$1,0),"ERROR")</f>
        <v>107</v>
      </c>
      <c r="M39" s="228">
        <f t="shared" si="2"/>
        <v>0.72789115646258506</v>
      </c>
      <c r="N39" s="230">
        <f>IFERROR(VLOOKUP($B39,MMWR_TRAD_AGG_RO_COMP[],N$1,0),"ERROR")</f>
        <v>156</v>
      </c>
      <c r="O39" s="231">
        <f>IFERROR(VLOOKUP($B39,MMWR_TRAD_AGG_RO_COMP[],O$1,0),"ERROR")</f>
        <v>81</v>
      </c>
      <c r="P39" s="228">
        <f t="shared" si="3"/>
        <v>0.51923076923076927</v>
      </c>
      <c r="Q39" s="232">
        <f>IFERROR(VLOOKUP($B39,MMWR_TRAD_AGG_RO_COMP[],Q$1,0),"ERROR")</f>
        <v>25</v>
      </c>
      <c r="R39" s="232">
        <f>IFERROR(VLOOKUP($B39,MMWR_TRAD_AGG_RO_COMP[],R$1,0),"ERROR")</f>
        <v>8</v>
      </c>
      <c r="S39" s="206">
        <f>IFERROR(VLOOKUP($B39,MMWR_APP_RO[],S$1,0),"ERROR")</f>
        <v>317</v>
      </c>
      <c r="T39" s="28"/>
    </row>
    <row r="40" spans="1:20" x14ac:dyDescent="0.2">
      <c r="A40" s="28"/>
      <c r="B40" s="109" t="s">
        <v>43</v>
      </c>
      <c r="C40" s="224">
        <f>IFERROR(VLOOKUP($B40,MMWR_TRAD_AGG_RO_COMP[],C$1,0),"ERROR")</f>
        <v>7221</v>
      </c>
      <c r="D40" s="225">
        <f>IFERROR(VLOOKUP($B40,MMWR_TRAD_AGG_RO_COMP[],D$1,0),"ERROR")</f>
        <v>456.78174768039997</v>
      </c>
      <c r="E40" s="226">
        <f>IFERROR(VLOOKUP($B40,MMWR_TRAD_AGG_RO_COMP[],E$1,0),"ERROR")</f>
        <v>7912</v>
      </c>
      <c r="F40" s="227">
        <f>IFERROR(VLOOKUP($B40,MMWR_TRAD_AGG_RO_COMP[],F$1,0),"ERROR")</f>
        <v>3589</v>
      </c>
      <c r="G40" s="228">
        <f t="shared" si="0"/>
        <v>0.45361476238624876</v>
      </c>
      <c r="H40" s="229">
        <f>IFERROR(VLOOKUP($B40,MMWR_TRAD_AGG_RO_COMP[],H$1,0),"ERROR")</f>
        <v>9488</v>
      </c>
      <c r="I40" s="227">
        <f>IFERROR(VLOOKUP($B40,MMWR_TRAD_AGG_RO_COMP[],I$1,0),"ERROR")</f>
        <v>6806</v>
      </c>
      <c r="J40" s="228">
        <f t="shared" si="1"/>
        <v>0.71732715008431702</v>
      </c>
      <c r="K40" s="230">
        <f>IFERROR(VLOOKUP($B40,MMWR_TRAD_AGG_RO_COMP[],K$1,0),"ERROR")</f>
        <v>2094</v>
      </c>
      <c r="L40" s="231">
        <f>IFERROR(VLOOKUP($B40,MMWR_TRAD_AGG_RO_COMP[],L$1,0),"ERROR")</f>
        <v>1827</v>
      </c>
      <c r="M40" s="228">
        <f t="shared" si="2"/>
        <v>0.8724928366762178</v>
      </c>
      <c r="N40" s="230">
        <f>IFERROR(VLOOKUP($B40,MMWR_TRAD_AGG_RO_COMP[],N$1,0),"ERROR")</f>
        <v>4987</v>
      </c>
      <c r="O40" s="231">
        <f>IFERROR(VLOOKUP($B40,MMWR_TRAD_AGG_RO_COMP[],O$1,0),"ERROR")</f>
        <v>3216</v>
      </c>
      <c r="P40" s="228">
        <f t="shared" si="3"/>
        <v>0.64487667936635251</v>
      </c>
      <c r="Q40" s="232">
        <f>IFERROR(VLOOKUP($B40,MMWR_TRAD_AGG_RO_COMP[],Q$1,0),"ERROR")</f>
        <v>1</v>
      </c>
      <c r="R40" s="232">
        <f>IFERROR(VLOOKUP($B40,MMWR_TRAD_AGG_RO_COMP[],R$1,0),"ERROR")</f>
        <v>54</v>
      </c>
      <c r="S40" s="206">
        <f>IFERROR(VLOOKUP($B40,MMWR_APP_RO[],S$1,0),"ERROR")</f>
        <v>5483</v>
      </c>
      <c r="T40" s="28"/>
    </row>
    <row r="41" spans="1:20" x14ac:dyDescent="0.2">
      <c r="A41" s="28"/>
      <c r="B41" s="109" t="s">
        <v>187</v>
      </c>
      <c r="C41" s="224">
        <f>IFERROR(VLOOKUP($B41,MMWR_TRAD_AGG_RO_COMP[],C$1,0),"ERROR")</f>
        <v>1159</v>
      </c>
      <c r="D41" s="225">
        <f>IFERROR(VLOOKUP($B41,MMWR_TRAD_AGG_RO_COMP[],D$1,0),"ERROR")</f>
        <v>143.16479723899999</v>
      </c>
      <c r="E41" s="226">
        <f>IFERROR(VLOOKUP($B41,MMWR_TRAD_AGG_RO_COMP[],E$1,0),"ERROR")</f>
        <v>901</v>
      </c>
      <c r="F41" s="227">
        <f>IFERROR(VLOOKUP($B41,MMWR_TRAD_AGG_RO_COMP[],F$1,0),"ERROR")</f>
        <v>142</v>
      </c>
      <c r="G41" s="228">
        <f t="shared" si="0"/>
        <v>0.15760266370699222</v>
      </c>
      <c r="H41" s="229">
        <f>IFERROR(VLOOKUP($B41,MMWR_TRAD_AGG_RO_COMP[],H$1,0),"ERROR")</f>
        <v>1432</v>
      </c>
      <c r="I41" s="227">
        <f>IFERROR(VLOOKUP($B41,MMWR_TRAD_AGG_RO_COMP[],I$1,0),"ERROR")</f>
        <v>413</v>
      </c>
      <c r="J41" s="228">
        <f t="shared" si="1"/>
        <v>0.28840782122905029</v>
      </c>
      <c r="K41" s="230">
        <f>IFERROR(VLOOKUP($B41,MMWR_TRAD_AGG_RO_COMP[],K$1,0),"ERROR")</f>
        <v>328</v>
      </c>
      <c r="L41" s="231">
        <f>IFERROR(VLOOKUP($B41,MMWR_TRAD_AGG_RO_COMP[],L$1,0),"ERROR")</f>
        <v>187</v>
      </c>
      <c r="M41" s="228">
        <f t="shared" si="2"/>
        <v>0.57012195121951215</v>
      </c>
      <c r="N41" s="230">
        <f>IFERROR(VLOOKUP($B41,MMWR_TRAD_AGG_RO_COMP[],N$1,0),"ERROR")</f>
        <v>82</v>
      </c>
      <c r="O41" s="231">
        <f>IFERROR(VLOOKUP($B41,MMWR_TRAD_AGG_RO_COMP[],O$1,0),"ERROR")</f>
        <v>29</v>
      </c>
      <c r="P41" s="228">
        <f t="shared" si="3"/>
        <v>0.35365853658536583</v>
      </c>
      <c r="Q41" s="232">
        <f>IFERROR(VLOOKUP($B41,MMWR_TRAD_AGG_RO_COMP[],Q$1,0),"ERROR")</f>
        <v>0</v>
      </c>
      <c r="R41" s="232">
        <f>IFERROR(VLOOKUP($B41,MMWR_TRAD_AGG_RO_COMP[],R$1,0),"ERROR")</f>
        <v>4</v>
      </c>
      <c r="S41" s="206">
        <f>IFERROR(VLOOKUP($B41,MMWR_APP_RO[],S$1,0),"ERROR")</f>
        <v>322</v>
      </c>
      <c r="T41" s="28"/>
    </row>
    <row r="42" spans="1:20" x14ac:dyDescent="0.2">
      <c r="A42" s="28"/>
      <c r="B42" s="109" t="s">
        <v>49</v>
      </c>
      <c r="C42" s="224">
        <f>IFERROR(VLOOKUP($B42,MMWR_TRAD_AGG_RO_COMP[],C$1,0),"ERROR")</f>
        <v>12906</v>
      </c>
      <c r="D42" s="225">
        <f>IFERROR(VLOOKUP($B42,MMWR_TRAD_AGG_RO_COMP[],D$1,0),"ERROR")</f>
        <v>332.89183325580001</v>
      </c>
      <c r="E42" s="226">
        <f>IFERROR(VLOOKUP($B42,MMWR_TRAD_AGG_RO_COMP[],E$1,0),"ERROR")</f>
        <v>18533</v>
      </c>
      <c r="F42" s="227">
        <f>IFERROR(VLOOKUP($B42,MMWR_TRAD_AGG_RO_COMP[],F$1,0),"ERROR")</f>
        <v>7495</v>
      </c>
      <c r="G42" s="228">
        <f t="shared" si="0"/>
        <v>0.40441374844871308</v>
      </c>
      <c r="H42" s="229">
        <f>IFERROR(VLOOKUP($B42,MMWR_TRAD_AGG_RO_COMP[],H$1,0),"ERROR")</f>
        <v>17354</v>
      </c>
      <c r="I42" s="227">
        <f>IFERROR(VLOOKUP($B42,MMWR_TRAD_AGG_RO_COMP[],I$1,0),"ERROR")</f>
        <v>11286</v>
      </c>
      <c r="J42" s="228">
        <f t="shared" si="1"/>
        <v>0.65033997925550302</v>
      </c>
      <c r="K42" s="230">
        <f>IFERROR(VLOOKUP($B42,MMWR_TRAD_AGG_RO_COMP[],K$1,0),"ERROR")</f>
        <v>1797</v>
      </c>
      <c r="L42" s="231">
        <f>IFERROR(VLOOKUP($B42,MMWR_TRAD_AGG_RO_COMP[],L$1,0),"ERROR")</f>
        <v>1393</v>
      </c>
      <c r="M42" s="228">
        <f t="shared" si="2"/>
        <v>0.77518085698386197</v>
      </c>
      <c r="N42" s="230">
        <f>IFERROR(VLOOKUP($B42,MMWR_TRAD_AGG_RO_COMP[],N$1,0),"ERROR")</f>
        <v>5632</v>
      </c>
      <c r="O42" s="231">
        <f>IFERROR(VLOOKUP($B42,MMWR_TRAD_AGG_RO_COMP[],O$1,0),"ERROR")</f>
        <v>4603</v>
      </c>
      <c r="P42" s="228">
        <f t="shared" si="3"/>
        <v>0.81729403409090906</v>
      </c>
      <c r="Q42" s="232">
        <f>IFERROR(VLOOKUP($B42,MMWR_TRAD_AGG_RO_COMP[],Q$1,0),"ERROR")</f>
        <v>1</v>
      </c>
      <c r="R42" s="232">
        <f>IFERROR(VLOOKUP($B42,MMWR_TRAD_AGG_RO_COMP[],R$1,0),"ERROR")</f>
        <v>238</v>
      </c>
      <c r="S42" s="206">
        <f>IFERROR(VLOOKUP($B42,MMWR_APP_RO[],S$1,0),"ERROR")</f>
        <v>18864</v>
      </c>
      <c r="T42" s="28"/>
    </row>
    <row r="43" spans="1:20" x14ac:dyDescent="0.2">
      <c r="A43" s="28"/>
      <c r="B43" s="109" t="s">
        <v>52</v>
      </c>
      <c r="C43" s="224">
        <f>IFERROR(VLOOKUP($B43,MMWR_TRAD_AGG_RO_COMP[],C$1,0),"ERROR")</f>
        <v>4287</v>
      </c>
      <c r="D43" s="225">
        <f>IFERROR(VLOOKUP($B43,MMWR_TRAD_AGG_RO_COMP[],D$1,0),"ERROR")</f>
        <v>383.49428504780002</v>
      </c>
      <c r="E43" s="226">
        <f>IFERROR(VLOOKUP($B43,MMWR_TRAD_AGG_RO_COMP[],E$1,0),"ERROR")</f>
        <v>4880</v>
      </c>
      <c r="F43" s="227">
        <f>IFERROR(VLOOKUP($B43,MMWR_TRAD_AGG_RO_COMP[],F$1,0),"ERROR")</f>
        <v>2487</v>
      </c>
      <c r="G43" s="228">
        <f t="shared" si="0"/>
        <v>0.5096311475409836</v>
      </c>
      <c r="H43" s="229">
        <f>IFERROR(VLOOKUP($B43,MMWR_TRAD_AGG_RO_COMP[],H$1,0),"ERROR")</f>
        <v>5645</v>
      </c>
      <c r="I43" s="227">
        <f>IFERROR(VLOOKUP($B43,MMWR_TRAD_AGG_RO_COMP[],I$1,0),"ERROR")</f>
        <v>3934</v>
      </c>
      <c r="J43" s="228">
        <f t="shared" si="1"/>
        <v>0.6968999114260408</v>
      </c>
      <c r="K43" s="230">
        <f>IFERROR(VLOOKUP($B43,MMWR_TRAD_AGG_RO_COMP[],K$1,0),"ERROR")</f>
        <v>1431</v>
      </c>
      <c r="L43" s="231">
        <f>IFERROR(VLOOKUP($B43,MMWR_TRAD_AGG_RO_COMP[],L$1,0),"ERROR")</f>
        <v>1209</v>
      </c>
      <c r="M43" s="228">
        <f t="shared" si="2"/>
        <v>0.84486373165618445</v>
      </c>
      <c r="N43" s="230">
        <f>IFERROR(VLOOKUP($B43,MMWR_TRAD_AGG_RO_COMP[],N$1,0),"ERROR")</f>
        <v>2428</v>
      </c>
      <c r="O43" s="231">
        <f>IFERROR(VLOOKUP($B43,MMWR_TRAD_AGG_RO_COMP[],O$1,0),"ERROR")</f>
        <v>1971</v>
      </c>
      <c r="P43" s="228">
        <f t="shared" si="3"/>
        <v>0.81177924217462938</v>
      </c>
      <c r="Q43" s="232">
        <f>IFERROR(VLOOKUP($B43,MMWR_TRAD_AGG_RO_COMP[],Q$1,0),"ERROR")</f>
        <v>80</v>
      </c>
      <c r="R43" s="232">
        <f>IFERROR(VLOOKUP($B43,MMWR_TRAD_AGG_RO_COMP[],R$1,0),"ERROR")</f>
        <v>166</v>
      </c>
      <c r="S43" s="206">
        <f>IFERROR(VLOOKUP($B43,MMWR_APP_RO[],S$1,0),"ERROR")</f>
        <v>4278</v>
      </c>
      <c r="T43" s="28"/>
    </row>
    <row r="44" spans="1:20" x14ac:dyDescent="0.2">
      <c r="A44" s="28"/>
      <c r="B44" s="109" t="s">
        <v>54</v>
      </c>
      <c r="C44" s="224">
        <f>IFERROR(VLOOKUP($B44,MMWR_TRAD_AGG_RO_COMP[],C$1,0),"ERROR")</f>
        <v>4478</v>
      </c>
      <c r="D44" s="225">
        <f>IFERROR(VLOOKUP($B44,MMWR_TRAD_AGG_RO_COMP[],D$1,0),"ERROR")</f>
        <v>340.57146047340001</v>
      </c>
      <c r="E44" s="226">
        <f>IFERROR(VLOOKUP($B44,MMWR_TRAD_AGG_RO_COMP[],E$1,0),"ERROR")</f>
        <v>3471</v>
      </c>
      <c r="F44" s="227">
        <f>IFERROR(VLOOKUP($B44,MMWR_TRAD_AGG_RO_COMP[],F$1,0),"ERROR")</f>
        <v>1069</v>
      </c>
      <c r="G44" s="228">
        <f t="shared" si="0"/>
        <v>0.30798040910400459</v>
      </c>
      <c r="H44" s="229">
        <f>IFERROR(VLOOKUP($B44,MMWR_TRAD_AGG_RO_COMP[],H$1,0),"ERROR")</f>
        <v>6648</v>
      </c>
      <c r="I44" s="227">
        <f>IFERROR(VLOOKUP($B44,MMWR_TRAD_AGG_RO_COMP[],I$1,0),"ERROR")</f>
        <v>3891</v>
      </c>
      <c r="J44" s="228">
        <f t="shared" si="1"/>
        <v>0.58528880866425992</v>
      </c>
      <c r="K44" s="230">
        <f>IFERROR(VLOOKUP($B44,MMWR_TRAD_AGG_RO_COMP[],K$1,0),"ERROR")</f>
        <v>2516</v>
      </c>
      <c r="L44" s="231">
        <f>IFERROR(VLOOKUP($B44,MMWR_TRAD_AGG_RO_COMP[],L$1,0),"ERROR")</f>
        <v>1807</v>
      </c>
      <c r="M44" s="228">
        <f t="shared" si="2"/>
        <v>0.71820349761526237</v>
      </c>
      <c r="N44" s="230">
        <f>IFERROR(VLOOKUP($B44,MMWR_TRAD_AGG_RO_COMP[],N$1,0),"ERROR")</f>
        <v>10513</v>
      </c>
      <c r="O44" s="231">
        <f>IFERROR(VLOOKUP($B44,MMWR_TRAD_AGG_RO_COMP[],O$1,0),"ERROR")</f>
        <v>9053</v>
      </c>
      <c r="P44" s="228">
        <f t="shared" si="3"/>
        <v>0.86112432226766855</v>
      </c>
      <c r="Q44" s="232">
        <f>IFERROR(VLOOKUP($B44,MMWR_TRAD_AGG_RO_COMP[],Q$1,0),"ERROR")</f>
        <v>0</v>
      </c>
      <c r="R44" s="232">
        <f>IFERROR(VLOOKUP($B44,MMWR_TRAD_AGG_RO_COMP[],R$1,0),"ERROR")</f>
        <v>169</v>
      </c>
      <c r="S44" s="206">
        <f>IFERROR(VLOOKUP($B44,MMWR_APP_RO[],S$1,0),"ERROR")</f>
        <v>5046</v>
      </c>
      <c r="T44" s="28"/>
    </row>
    <row r="45" spans="1:20" x14ac:dyDescent="0.2">
      <c r="A45" s="28"/>
      <c r="B45" s="109" t="s">
        <v>27</v>
      </c>
      <c r="C45" s="224">
        <f>IFERROR(VLOOKUP($B45,MMWR_TRAD_AGG_RO_COMP[],C$1,0),"ERROR")</f>
        <v>3961</v>
      </c>
      <c r="D45" s="225">
        <f>IFERROR(VLOOKUP($B45,MMWR_TRAD_AGG_RO_COMP[],D$1,0),"ERROR")</f>
        <v>152.68492804850001</v>
      </c>
      <c r="E45" s="226">
        <f>IFERROR(VLOOKUP($B45,MMWR_TRAD_AGG_RO_COMP[],E$1,0),"ERROR")</f>
        <v>7644</v>
      </c>
      <c r="F45" s="227">
        <f>IFERROR(VLOOKUP($B45,MMWR_TRAD_AGG_RO_COMP[],F$1,0),"ERROR")</f>
        <v>2171</v>
      </c>
      <c r="G45" s="228">
        <f t="shared" si="0"/>
        <v>0.28401360544217685</v>
      </c>
      <c r="H45" s="229">
        <f>IFERROR(VLOOKUP($B45,MMWR_TRAD_AGG_RO_COMP[],H$1,0),"ERROR")</f>
        <v>9063</v>
      </c>
      <c r="I45" s="227">
        <f>IFERROR(VLOOKUP($B45,MMWR_TRAD_AGG_RO_COMP[],I$1,0),"ERROR")</f>
        <v>3383</v>
      </c>
      <c r="J45" s="228">
        <f t="shared" si="1"/>
        <v>0.37327595718856893</v>
      </c>
      <c r="K45" s="230">
        <f>IFERROR(VLOOKUP($B45,MMWR_TRAD_AGG_RO_COMP[],K$1,0),"ERROR")</f>
        <v>1234</v>
      </c>
      <c r="L45" s="231">
        <f>IFERROR(VLOOKUP($B45,MMWR_TRAD_AGG_RO_COMP[],L$1,0),"ERROR")</f>
        <v>541</v>
      </c>
      <c r="M45" s="228">
        <f t="shared" si="2"/>
        <v>0.43841166936790926</v>
      </c>
      <c r="N45" s="230">
        <f>IFERROR(VLOOKUP($B45,MMWR_TRAD_AGG_RO_COMP[],N$1,0),"ERROR")</f>
        <v>620</v>
      </c>
      <c r="O45" s="231">
        <f>IFERROR(VLOOKUP($B45,MMWR_TRAD_AGG_RO_COMP[],O$1,0),"ERROR")</f>
        <v>266</v>
      </c>
      <c r="P45" s="228">
        <f t="shared" si="3"/>
        <v>0.42903225806451611</v>
      </c>
      <c r="Q45" s="232">
        <f>IFERROR(VLOOKUP($B45,MMWR_TRAD_AGG_RO_COMP[],Q$1,0),"ERROR")</f>
        <v>0</v>
      </c>
      <c r="R45" s="232">
        <f>IFERROR(VLOOKUP($B45,MMWR_TRAD_AGG_RO_COMP[],R$1,0),"ERROR")</f>
        <v>74</v>
      </c>
      <c r="S45" s="206">
        <f>IFERROR(VLOOKUP($B45,MMWR_APP_RO[],S$1,0),"ERROR")</f>
        <v>3731</v>
      </c>
      <c r="T45" s="28"/>
    </row>
    <row r="46" spans="1:20" x14ac:dyDescent="0.2">
      <c r="A46" s="28"/>
      <c r="B46" s="109" t="s">
        <v>62</v>
      </c>
      <c r="C46" s="224">
        <f>IFERROR(VLOOKUP($B46,MMWR_TRAD_AGG_RO_COMP[],C$1,0),"ERROR")</f>
        <v>6316</v>
      </c>
      <c r="D46" s="225">
        <f>IFERROR(VLOOKUP($B46,MMWR_TRAD_AGG_RO_COMP[],D$1,0),"ERROR")</f>
        <v>408.52169094359999</v>
      </c>
      <c r="E46" s="226">
        <f>IFERROR(VLOOKUP($B46,MMWR_TRAD_AGG_RO_COMP[],E$1,0),"ERROR")</f>
        <v>5951</v>
      </c>
      <c r="F46" s="227">
        <f>IFERROR(VLOOKUP($B46,MMWR_TRAD_AGG_RO_COMP[],F$1,0),"ERROR")</f>
        <v>2145</v>
      </c>
      <c r="G46" s="228">
        <f t="shared" si="0"/>
        <v>0.36044362292051757</v>
      </c>
      <c r="H46" s="229">
        <f>IFERROR(VLOOKUP($B46,MMWR_TRAD_AGG_RO_COMP[],H$1,0),"ERROR")</f>
        <v>7494</v>
      </c>
      <c r="I46" s="227">
        <f>IFERROR(VLOOKUP($B46,MMWR_TRAD_AGG_RO_COMP[],I$1,0),"ERROR")</f>
        <v>4988</v>
      </c>
      <c r="J46" s="228">
        <f t="shared" si="1"/>
        <v>0.66559914598345338</v>
      </c>
      <c r="K46" s="230">
        <f>IFERROR(VLOOKUP($B46,MMWR_TRAD_AGG_RO_COMP[],K$1,0),"ERROR")</f>
        <v>562</v>
      </c>
      <c r="L46" s="231">
        <f>IFERROR(VLOOKUP($B46,MMWR_TRAD_AGG_RO_COMP[],L$1,0),"ERROR")</f>
        <v>512</v>
      </c>
      <c r="M46" s="228">
        <f t="shared" si="2"/>
        <v>0.91103202846975084</v>
      </c>
      <c r="N46" s="230">
        <f>IFERROR(VLOOKUP($B46,MMWR_TRAD_AGG_RO_COMP[],N$1,0),"ERROR")</f>
        <v>770</v>
      </c>
      <c r="O46" s="231">
        <f>IFERROR(VLOOKUP($B46,MMWR_TRAD_AGG_RO_COMP[],O$1,0),"ERROR")</f>
        <v>557</v>
      </c>
      <c r="P46" s="228">
        <f t="shared" si="3"/>
        <v>0.72337662337662334</v>
      </c>
      <c r="Q46" s="232">
        <f>IFERROR(VLOOKUP($B46,MMWR_TRAD_AGG_RO_COMP[],Q$1,0),"ERROR")</f>
        <v>3</v>
      </c>
      <c r="R46" s="232">
        <f>IFERROR(VLOOKUP($B46,MMWR_TRAD_AGG_RO_COMP[],R$1,0),"ERROR")</f>
        <v>311</v>
      </c>
      <c r="S46" s="206">
        <f>IFERROR(VLOOKUP($B46,MMWR_APP_RO[],S$1,0),"ERROR")</f>
        <v>5679</v>
      </c>
      <c r="T46" s="28"/>
    </row>
    <row r="47" spans="1:20" x14ac:dyDescent="0.2">
      <c r="A47" s="28"/>
      <c r="B47" s="109" t="s">
        <v>73</v>
      </c>
      <c r="C47" s="224">
        <f>IFERROR(VLOOKUP($B47,MMWR_TRAD_AGG_RO_COMP[],C$1,0),"ERROR")</f>
        <v>9739</v>
      </c>
      <c r="D47" s="225">
        <f>IFERROR(VLOOKUP($B47,MMWR_TRAD_AGG_RO_COMP[],D$1,0),"ERROR")</f>
        <v>230.6121778417</v>
      </c>
      <c r="E47" s="226">
        <f>IFERROR(VLOOKUP($B47,MMWR_TRAD_AGG_RO_COMP[],E$1,0),"ERROR")</f>
        <v>5046</v>
      </c>
      <c r="F47" s="227">
        <f>IFERROR(VLOOKUP($B47,MMWR_TRAD_AGG_RO_COMP[],F$1,0),"ERROR")</f>
        <v>1082</v>
      </c>
      <c r="G47" s="228">
        <f t="shared" si="0"/>
        <v>0.21442726912405866</v>
      </c>
      <c r="H47" s="229">
        <f>IFERROR(VLOOKUP($B47,MMWR_TRAD_AGG_RO_COMP[],H$1,0),"ERROR")</f>
        <v>16995</v>
      </c>
      <c r="I47" s="227">
        <f>IFERROR(VLOOKUP($B47,MMWR_TRAD_AGG_RO_COMP[],I$1,0),"ERROR")</f>
        <v>7642</v>
      </c>
      <c r="J47" s="228">
        <f t="shared" si="1"/>
        <v>0.44966166519564577</v>
      </c>
      <c r="K47" s="230">
        <f>IFERROR(VLOOKUP($B47,MMWR_TRAD_AGG_RO_COMP[],K$1,0),"ERROR")</f>
        <v>910</v>
      </c>
      <c r="L47" s="231">
        <f>IFERROR(VLOOKUP($B47,MMWR_TRAD_AGG_RO_COMP[],L$1,0),"ERROR")</f>
        <v>531</v>
      </c>
      <c r="M47" s="228">
        <f t="shared" si="2"/>
        <v>0.58351648351648355</v>
      </c>
      <c r="N47" s="230">
        <f>IFERROR(VLOOKUP($B47,MMWR_TRAD_AGG_RO_COMP[],N$1,0),"ERROR")</f>
        <v>131</v>
      </c>
      <c r="O47" s="231">
        <f>IFERROR(VLOOKUP($B47,MMWR_TRAD_AGG_RO_COMP[],O$1,0),"ERROR")</f>
        <v>66</v>
      </c>
      <c r="P47" s="228">
        <f t="shared" si="3"/>
        <v>0.50381679389312972</v>
      </c>
      <c r="Q47" s="232">
        <f>IFERROR(VLOOKUP($B47,MMWR_TRAD_AGG_RO_COMP[],Q$1,0),"ERROR")</f>
        <v>0</v>
      </c>
      <c r="R47" s="232">
        <f>IFERROR(VLOOKUP($B47,MMWR_TRAD_AGG_RO_COMP[],R$1,0),"ERROR")</f>
        <v>3</v>
      </c>
      <c r="S47" s="206">
        <f>IFERROR(VLOOKUP($B47,MMWR_APP_RO[],S$1,0),"ERROR")</f>
        <v>459</v>
      </c>
      <c r="T47" s="28"/>
    </row>
    <row r="48" spans="1:20" x14ac:dyDescent="0.2">
      <c r="A48" s="28"/>
      <c r="B48" s="117" t="s">
        <v>82</v>
      </c>
      <c r="C48" s="233">
        <f>IFERROR(VLOOKUP($B48,MMWR_TRAD_AGG_RO_COMP[],C$1,0),"ERROR")</f>
        <v>12542</v>
      </c>
      <c r="D48" s="234">
        <f>IFERROR(VLOOKUP($B48,MMWR_TRAD_AGG_RO_COMP[],D$1,0),"ERROR")</f>
        <v>308.05166640089999</v>
      </c>
      <c r="E48" s="235">
        <f>IFERROR(VLOOKUP($B48,MMWR_TRAD_AGG_RO_COMP[],E$1,0),"ERROR")</f>
        <v>18897</v>
      </c>
      <c r="F48" s="236">
        <f>IFERROR(VLOOKUP($B48,MMWR_TRAD_AGG_RO_COMP[],F$1,0),"ERROR")</f>
        <v>6914</v>
      </c>
      <c r="G48" s="237">
        <f t="shared" si="0"/>
        <v>0.36587818172196646</v>
      </c>
      <c r="H48" s="238">
        <f>IFERROR(VLOOKUP($B48,MMWR_TRAD_AGG_RO_COMP[],H$1,0),"ERROR")</f>
        <v>15385</v>
      </c>
      <c r="I48" s="236">
        <f>IFERROR(VLOOKUP($B48,MMWR_TRAD_AGG_RO_COMP[],I$1,0),"ERROR")</f>
        <v>9196</v>
      </c>
      <c r="J48" s="237">
        <f t="shared" si="1"/>
        <v>0.59772505687357813</v>
      </c>
      <c r="K48" s="239">
        <f>IFERROR(VLOOKUP($B48,MMWR_TRAD_AGG_RO_COMP[],K$1,0),"ERROR")</f>
        <v>1428</v>
      </c>
      <c r="L48" s="240">
        <f>IFERROR(VLOOKUP($B48,MMWR_TRAD_AGG_RO_COMP[],L$1,0),"ERROR")</f>
        <v>1103</v>
      </c>
      <c r="M48" s="237">
        <f t="shared" si="2"/>
        <v>0.77240896358543421</v>
      </c>
      <c r="N48" s="239">
        <f>IFERROR(VLOOKUP($B48,MMWR_TRAD_AGG_RO_COMP[],N$1,0),"ERROR")</f>
        <v>3268</v>
      </c>
      <c r="O48" s="240">
        <f>IFERROR(VLOOKUP($B48,MMWR_TRAD_AGG_RO_COMP[],O$1,0),"ERROR")</f>
        <v>1823</v>
      </c>
      <c r="P48" s="237">
        <f t="shared" si="3"/>
        <v>0.55783353733170138</v>
      </c>
      <c r="Q48" s="241">
        <f>IFERROR(VLOOKUP($B48,MMWR_TRAD_AGG_RO_COMP[],Q$1,0),"ERROR")</f>
        <v>2</v>
      </c>
      <c r="R48" s="241">
        <f>IFERROR(VLOOKUP($B48,MMWR_TRAD_AGG_RO_COMP[],R$1,0),"ERROR")</f>
        <v>232</v>
      </c>
      <c r="S48" s="206">
        <f>IFERROR(VLOOKUP($B48,MMWR_APP_RO[],S$1,0),"ERROR")</f>
        <v>18820</v>
      </c>
      <c r="T48" s="28"/>
    </row>
    <row r="49" spans="1:20" x14ac:dyDescent="0.2">
      <c r="A49" s="28"/>
      <c r="B49" s="102" t="s">
        <v>414</v>
      </c>
      <c r="C49" s="217">
        <f>IFERROR(VLOOKUP($B49,MMWR_TRAD_AGG_DISTRICT_COMP[],C$1,0),"ERROR")</f>
        <v>66338</v>
      </c>
      <c r="D49" s="202">
        <f>IFERROR(VLOOKUP($B49,MMWR_TRAD_AGG_DISTRICT_COMP[],D$1,0),"ERROR")</f>
        <v>376.72377822670001</v>
      </c>
      <c r="E49" s="218">
        <f>IFERROR(VLOOKUP($B49,MMWR_TRAD_AGG_DISTRICT_COMP[],E$1,0),"ERROR")</f>
        <v>70461</v>
      </c>
      <c r="F49" s="223">
        <f>IFERROR(VLOOKUP($B49,MMWR_TRAD_AGG_DISTRICT_COMP[],F$1,0),"ERROR")</f>
        <v>24226</v>
      </c>
      <c r="G49" s="219">
        <f t="shared" si="0"/>
        <v>0.34382140474872624</v>
      </c>
      <c r="H49" s="223">
        <f>IFERROR(VLOOKUP($B49,MMWR_TRAD_AGG_DISTRICT_COMP[],H$1,0),"ERROR")</f>
        <v>90173</v>
      </c>
      <c r="I49" s="223">
        <f>IFERROR(VLOOKUP($B49,MMWR_TRAD_AGG_DISTRICT_COMP[],I$1,0),"ERROR")</f>
        <v>58698</v>
      </c>
      <c r="J49" s="219">
        <f t="shared" si="1"/>
        <v>0.65094873188204894</v>
      </c>
      <c r="K49" s="217">
        <f>IFERROR(VLOOKUP($B49,MMWR_TRAD_AGG_DISTRICT_COMP[],K$1,0),"ERROR")</f>
        <v>16502</v>
      </c>
      <c r="L49" s="217">
        <f>IFERROR(VLOOKUP($B49,MMWR_TRAD_AGG_DISTRICT_COMP[],L$1,0),"ERROR")</f>
        <v>14138</v>
      </c>
      <c r="M49" s="219">
        <f t="shared" si="2"/>
        <v>0.8567446370136953</v>
      </c>
      <c r="N49" s="217">
        <f>IFERROR(VLOOKUP($B49,MMWR_TRAD_AGG_DISTRICT_COMP[],N$1,0),"ERROR")</f>
        <v>28469</v>
      </c>
      <c r="O49" s="217">
        <f>IFERROR(VLOOKUP($B49,MMWR_TRAD_AGG_DISTRICT_COMP[],O$1,0),"ERROR")</f>
        <v>21766</v>
      </c>
      <c r="P49" s="219">
        <f t="shared" si="3"/>
        <v>0.76455091503038397</v>
      </c>
      <c r="Q49" s="217">
        <f>IFERROR(VLOOKUP($B49,MMWR_TRAD_AGG_DISTRICT_COMP[],Q$1,0),"ERROR")</f>
        <v>330</v>
      </c>
      <c r="R49" s="220">
        <f>IFERROR(VLOOKUP($B49,MMWR_TRAD_AGG_DISTRICT_COMP[],R$1,0),"ERROR")</f>
        <v>697</v>
      </c>
      <c r="S49" s="220">
        <f>IFERROR(VLOOKUP($B49,MMWR_APP_RO[],S$1,0),"ERROR")</f>
        <v>41192</v>
      </c>
      <c r="T49" s="28"/>
    </row>
    <row r="50" spans="1:20" x14ac:dyDescent="0.2">
      <c r="A50" s="28"/>
      <c r="B50" s="109" t="s">
        <v>34</v>
      </c>
      <c r="C50" s="224">
        <f>IFERROR(VLOOKUP($B50,MMWR_TRAD_AGG_RO_COMP[],C$1,0),"ERROR")</f>
        <v>1344</v>
      </c>
      <c r="D50" s="225">
        <f>IFERROR(VLOOKUP($B50,MMWR_TRAD_AGG_RO_COMP[],D$1,0),"ERROR")</f>
        <v>163.62797619049999</v>
      </c>
      <c r="E50" s="226">
        <f>IFERROR(VLOOKUP($B50,MMWR_TRAD_AGG_RO_COMP[],E$1,0),"ERROR")</f>
        <v>3190</v>
      </c>
      <c r="F50" s="227">
        <f>IFERROR(VLOOKUP($B50,MMWR_TRAD_AGG_RO_COMP[],F$1,0),"ERROR")</f>
        <v>1179</v>
      </c>
      <c r="G50" s="228">
        <f t="shared" si="0"/>
        <v>0.36959247648902821</v>
      </c>
      <c r="H50" s="229">
        <f>IFERROR(VLOOKUP($B50,MMWR_TRAD_AGG_RO_COMP[],H$1,0),"ERROR")</f>
        <v>2036</v>
      </c>
      <c r="I50" s="227">
        <f>IFERROR(VLOOKUP($B50,MMWR_TRAD_AGG_RO_COMP[],I$1,0),"ERROR")</f>
        <v>835</v>
      </c>
      <c r="J50" s="228">
        <f t="shared" si="1"/>
        <v>0.41011787819253437</v>
      </c>
      <c r="K50" s="230">
        <f>IFERROR(VLOOKUP($B50,MMWR_TRAD_AGG_RO_COMP[],K$1,0),"ERROR")</f>
        <v>182</v>
      </c>
      <c r="L50" s="231">
        <f>IFERROR(VLOOKUP($B50,MMWR_TRAD_AGG_RO_COMP[],L$1,0),"ERROR")</f>
        <v>114</v>
      </c>
      <c r="M50" s="228">
        <f t="shared" si="2"/>
        <v>0.62637362637362637</v>
      </c>
      <c r="N50" s="230">
        <f>IFERROR(VLOOKUP($B50,MMWR_TRAD_AGG_RO_COMP[],N$1,0),"ERROR")</f>
        <v>413</v>
      </c>
      <c r="O50" s="231">
        <f>IFERROR(VLOOKUP($B50,MMWR_TRAD_AGG_RO_COMP[],O$1,0),"ERROR")</f>
        <v>250</v>
      </c>
      <c r="P50" s="228">
        <f t="shared" si="3"/>
        <v>0.60532687651331718</v>
      </c>
      <c r="Q50" s="232">
        <f>IFERROR(VLOOKUP($B50,MMWR_TRAD_AGG_RO_COMP[],Q$1,0),"ERROR")</f>
        <v>0</v>
      </c>
      <c r="R50" s="232">
        <f>IFERROR(VLOOKUP($B50,MMWR_TRAD_AGG_RO_COMP[],R$1,0),"ERROR")</f>
        <v>17</v>
      </c>
      <c r="S50" s="206">
        <f>IFERROR(VLOOKUP($B50,MMWR_APP_RO[],S$1,0),"ERROR")</f>
        <v>1824</v>
      </c>
      <c r="T50" s="28"/>
    </row>
    <row r="51" spans="1:20" x14ac:dyDescent="0.2">
      <c r="A51" s="28"/>
      <c r="B51" s="109" t="s">
        <v>35</v>
      </c>
      <c r="C51" s="224">
        <f>IFERROR(VLOOKUP($B51,MMWR_TRAD_AGG_RO_COMP[],C$1,0),"ERROR")</f>
        <v>2490</v>
      </c>
      <c r="D51" s="225">
        <f>IFERROR(VLOOKUP($B51,MMWR_TRAD_AGG_RO_COMP[],D$1,0),"ERROR")</f>
        <v>513.66104417669999</v>
      </c>
      <c r="E51" s="226">
        <f>IFERROR(VLOOKUP($B51,MMWR_TRAD_AGG_RO_COMP[],E$1,0),"ERROR")</f>
        <v>897</v>
      </c>
      <c r="F51" s="227">
        <f>IFERROR(VLOOKUP($B51,MMWR_TRAD_AGG_RO_COMP[],F$1,0),"ERROR")</f>
        <v>130</v>
      </c>
      <c r="G51" s="228">
        <f t="shared" si="0"/>
        <v>0.14492753623188406</v>
      </c>
      <c r="H51" s="229">
        <f>IFERROR(VLOOKUP($B51,MMWR_TRAD_AGG_RO_COMP[],H$1,0),"ERROR")</f>
        <v>3070</v>
      </c>
      <c r="I51" s="227">
        <f>IFERROR(VLOOKUP($B51,MMWR_TRAD_AGG_RO_COMP[],I$1,0),"ERROR")</f>
        <v>2283</v>
      </c>
      <c r="J51" s="228">
        <f t="shared" si="1"/>
        <v>0.74364820846905533</v>
      </c>
      <c r="K51" s="230">
        <f>IFERROR(VLOOKUP($B51,MMWR_TRAD_AGG_RO_COMP[],K$1,0),"ERROR")</f>
        <v>1894</v>
      </c>
      <c r="L51" s="231">
        <f>IFERROR(VLOOKUP($B51,MMWR_TRAD_AGG_RO_COMP[],L$1,0),"ERROR")</f>
        <v>1712</v>
      </c>
      <c r="M51" s="228">
        <f t="shared" si="2"/>
        <v>0.9039070749736009</v>
      </c>
      <c r="N51" s="230">
        <f>IFERROR(VLOOKUP($B51,MMWR_TRAD_AGG_RO_COMP[],N$1,0),"ERROR")</f>
        <v>149</v>
      </c>
      <c r="O51" s="231">
        <f>IFERROR(VLOOKUP($B51,MMWR_TRAD_AGG_RO_COMP[],O$1,0),"ERROR")</f>
        <v>121</v>
      </c>
      <c r="P51" s="228">
        <f t="shared" si="3"/>
        <v>0.81208053691275173</v>
      </c>
      <c r="Q51" s="232">
        <f>IFERROR(VLOOKUP($B51,MMWR_TRAD_AGG_RO_COMP[],Q$1,0),"ERROR")</f>
        <v>0</v>
      </c>
      <c r="R51" s="232">
        <f>IFERROR(VLOOKUP($B51,MMWR_TRAD_AGG_RO_COMP[],R$1,0),"ERROR")</f>
        <v>3</v>
      </c>
      <c r="S51" s="206">
        <f>IFERROR(VLOOKUP($B51,MMWR_APP_RO[],S$1,0),"ERROR")</f>
        <v>310</v>
      </c>
      <c r="T51" s="28"/>
    </row>
    <row r="52" spans="1:20" x14ac:dyDescent="0.2">
      <c r="A52" s="28"/>
      <c r="B52" s="109" t="s">
        <v>37</v>
      </c>
      <c r="C52" s="224">
        <f>IFERROR(VLOOKUP($B52,MMWR_TRAD_AGG_RO_COMP[],C$1,0),"ERROR")</f>
        <v>457</v>
      </c>
      <c r="D52" s="225">
        <f>IFERROR(VLOOKUP($B52,MMWR_TRAD_AGG_RO_COMP[],D$1,0),"ERROR")</f>
        <v>99.059080962799996</v>
      </c>
      <c r="E52" s="226">
        <f>IFERROR(VLOOKUP($B52,MMWR_TRAD_AGG_RO_COMP[],E$1,0),"ERROR")</f>
        <v>1537</v>
      </c>
      <c r="F52" s="227">
        <f>IFERROR(VLOOKUP($B52,MMWR_TRAD_AGG_RO_COMP[],F$1,0),"ERROR")</f>
        <v>411</v>
      </c>
      <c r="G52" s="228">
        <f t="shared" si="0"/>
        <v>0.26740403383214051</v>
      </c>
      <c r="H52" s="229">
        <f>IFERROR(VLOOKUP($B52,MMWR_TRAD_AGG_RO_COMP[],H$1,0),"ERROR")</f>
        <v>897</v>
      </c>
      <c r="I52" s="227">
        <f>IFERROR(VLOOKUP($B52,MMWR_TRAD_AGG_RO_COMP[],I$1,0),"ERROR")</f>
        <v>122</v>
      </c>
      <c r="J52" s="228">
        <f t="shared" si="1"/>
        <v>0.13600891861761427</v>
      </c>
      <c r="K52" s="230">
        <f>IFERROR(VLOOKUP($B52,MMWR_TRAD_AGG_RO_COMP[],K$1,0),"ERROR")</f>
        <v>165</v>
      </c>
      <c r="L52" s="231">
        <f>IFERROR(VLOOKUP($B52,MMWR_TRAD_AGG_RO_COMP[],L$1,0),"ERROR")</f>
        <v>86</v>
      </c>
      <c r="M52" s="228">
        <f t="shared" si="2"/>
        <v>0.52121212121212124</v>
      </c>
      <c r="N52" s="230">
        <f>IFERROR(VLOOKUP($B52,MMWR_TRAD_AGG_RO_COMP[],N$1,0),"ERROR")</f>
        <v>68</v>
      </c>
      <c r="O52" s="231">
        <f>IFERROR(VLOOKUP($B52,MMWR_TRAD_AGG_RO_COMP[],O$1,0),"ERROR")</f>
        <v>44</v>
      </c>
      <c r="P52" s="228">
        <f t="shared" si="3"/>
        <v>0.6470588235294118</v>
      </c>
      <c r="Q52" s="232">
        <f>IFERROR(VLOOKUP($B52,MMWR_TRAD_AGG_RO_COMP[],Q$1,0),"ERROR")</f>
        <v>0</v>
      </c>
      <c r="R52" s="232">
        <f>IFERROR(VLOOKUP($B52,MMWR_TRAD_AGG_RO_COMP[],R$1,0),"ERROR")</f>
        <v>12</v>
      </c>
      <c r="S52" s="206">
        <f>IFERROR(VLOOKUP($B52,MMWR_APP_RO[],S$1,0),"ERROR")</f>
        <v>976</v>
      </c>
      <c r="T52" s="28"/>
    </row>
    <row r="53" spans="1:20" x14ac:dyDescent="0.2">
      <c r="A53" s="28"/>
      <c r="B53" s="109" t="s">
        <v>48</v>
      </c>
      <c r="C53" s="224">
        <f>IFERROR(VLOOKUP($B53,MMWR_TRAD_AGG_RO_COMP[],C$1,0),"ERROR")</f>
        <v>1882</v>
      </c>
      <c r="D53" s="225">
        <f>IFERROR(VLOOKUP($B53,MMWR_TRAD_AGG_RO_COMP[],D$1,0),"ERROR")</f>
        <v>221.4782146652</v>
      </c>
      <c r="E53" s="226">
        <f>IFERROR(VLOOKUP($B53,MMWR_TRAD_AGG_RO_COMP[],E$1,0),"ERROR")</f>
        <v>2650</v>
      </c>
      <c r="F53" s="227">
        <f>IFERROR(VLOOKUP($B53,MMWR_TRAD_AGG_RO_COMP[],F$1,0),"ERROR")</f>
        <v>950</v>
      </c>
      <c r="G53" s="228">
        <f t="shared" si="0"/>
        <v>0.35849056603773582</v>
      </c>
      <c r="H53" s="229">
        <f>IFERROR(VLOOKUP($B53,MMWR_TRAD_AGG_RO_COMP[],H$1,0),"ERROR")</f>
        <v>2441</v>
      </c>
      <c r="I53" s="227">
        <f>IFERROR(VLOOKUP($B53,MMWR_TRAD_AGG_RO_COMP[],I$1,0),"ERROR")</f>
        <v>1258</v>
      </c>
      <c r="J53" s="228">
        <f t="shared" si="1"/>
        <v>0.51536255632937322</v>
      </c>
      <c r="K53" s="230">
        <f>IFERROR(VLOOKUP($B53,MMWR_TRAD_AGG_RO_COMP[],K$1,0),"ERROR")</f>
        <v>456</v>
      </c>
      <c r="L53" s="231">
        <f>IFERROR(VLOOKUP($B53,MMWR_TRAD_AGG_RO_COMP[],L$1,0),"ERROR")</f>
        <v>411</v>
      </c>
      <c r="M53" s="228">
        <f t="shared" si="2"/>
        <v>0.90131578947368418</v>
      </c>
      <c r="N53" s="230">
        <f>IFERROR(VLOOKUP($B53,MMWR_TRAD_AGG_RO_COMP[],N$1,0),"ERROR")</f>
        <v>434</v>
      </c>
      <c r="O53" s="231">
        <f>IFERROR(VLOOKUP($B53,MMWR_TRAD_AGG_RO_COMP[],O$1,0),"ERROR")</f>
        <v>284</v>
      </c>
      <c r="P53" s="228">
        <f t="shared" si="3"/>
        <v>0.65437788018433185</v>
      </c>
      <c r="Q53" s="232">
        <f>IFERROR(VLOOKUP($B53,MMWR_TRAD_AGG_RO_COMP[],Q$1,0),"ERROR")</f>
        <v>0</v>
      </c>
      <c r="R53" s="232">
        <f>IFERROR(VLOOKUP($B53,MMWR_TRAD_AGG_RO_COMP[],R$1,0),"ERROR")</f>
        <v>1</v>
      </c>
      <c r="S53" s="206">
        <f>IFERROR(VLOOKUP($B53,MMWR_APP_RO[],S$1,0),"ERROR")</f>
        <v>1145</v>
      </c>
      <c r="T53" s="28"/>
    </row>
    <row r="54" spans="1:20" x14ac:dyDescent="0.2">
      <c r="A54" s="28"/>
      <c r="B54" s="109" t="s">
        <v>55</v>
      </c>
      <c r="C54" s="224">
        <f>IFERROR(VLOOKUP($B54,MMWR_TRAD_AGG_RO_COMP[],C$1,0),"ERROR")</f>
        <v>6950</v>
      </c>
      <c r="D54" s="225">
        <f>IFERROR(VLOOKUP($B54,MMWR_TRAD_AGG_RO_COMP[],D$1,0),"ERROR")</f>
        <v>439.03597122299999</v>
      </c>
      <c r="E54" s="226">
        <f>IFERROR(VLOOKUP($B54,MMWR_TRAD_AGG_RO_COMP[],E$1,0),"ERROR")</f>
        <v>11694</v>
      </c>
      <c r="F54" s="227">
        <f>IFERROR(VLOOKUP($B54,MMWR_TRAD_AGG_RO_COMP[],F$1,0),"ERROR")</f>
        <v>4860</v>
      </c>
      <c r="G54" s="228">
        <f t="shared" si="0"/>
        <v>0.41559774243201641</v>
      </c>
      <c r="H54" s="229">
        <f>IFERROR(VLOOKUP($B54,MMWR_TRAD_AGG_RO_COMP[],H$1,0),"ERROR")</f>
        <v>8592</v>
      </c>
      <c r="I54" s="227">
        <f>IFERROR(VLOOKUP($B54,MMWR_TRAD_AGG_RO_COMP[],I$1,0),"ERROR")</f>
        <v>6477</v>
      </c>
      <c r="J54" s="228">
        <f t="shared" si="1"/>
        <v>0.75384078212290506</v>
      </c>
      <c r="K54" s="230">
        <f>IFERROR(VLOOKUP($B54,MMWR_TRAD_AGG_RO_COMP[],K$1,0),"ERROR")</f>
        <v>1031</v>
      </c>
      <c r="L54" s="231">
        <f>IFERROR(VLOOKUP($B54,MMWR_TRAD_AGG_RO_COMP[],L$1,0),"ERROR")</f>
        <v>928</v>
      </c>
      <c r="M54" s="228">
        <f t="shared" si="2"/>
        <v>0.90009699321047532</v>
      </c>
      <c r="N54" s="230">
        <f>IFERROR(VLOOKUP($B54,MMWR_TRAD_AGG_RO_COMP[],N$1,0),"ERROR")</f>
        <v>5591</v>
      </c>
      <c r="O54" s="231">
        <f>IFERROR(VLOOKUP($B54,MMWR_TRAD_AGG_RO_COMP[],O$1,0),"ERROR")</f>
        <v>3585</v>
      </c>
      <c r="P54" s="228">
        <f t="shared" si="3"/>
        <v>0.64120908603112148</v>
      </c>
      <c r="Q54" s="232">
        <f>IFERROR(VLOOKUP($B54,MMWR_TRAD_AGG_RO_COMP[],Q$1,0),"ERROR")</f>
        <v>3</v>
      </c>
      <c r="R54" s="232">
        <f>IFERROR(VLOOKUP($B54,MMWR_TRAD_AGG_RO_COMP[],R$1,0),"ERROR")</f>
        <v>36</v>
      </c>
      <c r="S54" s="206">
        <f>IFERROR(VLOOKUP($B54,MMWR_APP_RO[],S$1,0),"ERROR")</f>
        <v>4506</v>
      </c>
      <c r="T54" s="28"/>
    </row>
    <row r="55" spans="1:20" x14ac:dyDescent="0.2">
      <c r="A55" s="28"/>
      <c r="B55" s="109" t="s">
        <v>58</v>
      </c>
      <c r="C55" s="224">
        <f>IFERROR(VLOOKUP($B55,MMWR_TRAD_AGG_RO_COMP[],C$1,0),"ERROR")</f>
        <v>725</v>
      </c>
      <c r="D55" s="225">
        <f>IFERROR(VLOOKUP($B55,MMWR_TRAD_AGG_RO_COMP[],D$1,0),"ERROR")</f>
        <v>154.77241379309999</v>
      </c>
      <c r="E55" s="226">
        <f>IFERROR(VLOOKUP($B55,MMWR_TRAD_AGG_RO_COMP[],E$1,0),"ERROR")</f>
        <v>1225</v>
      </c>
      <c r="F55" s="227">
        <f>IFERROR(VLOOKUP($B55,MMWR_TRAD_AGG_RO_COMP[],F$1,0),"ERROR")</f>
        <v>505</v>
      </c>
      <c r="G55" s="228">
        <f t="shared" si="0"/>
        <v>0.41224489795918368</v>
      </c>
      <c r="H55" s="229">
        <f>IFERROR(VLOOKUP($B55,MMWR_TRAD_AGG_RO_COMP[],H$1,0),"ERROR")</f>
        <v>956</v>
      </c>
      <c r="I55" s="227">
        <f>IFERROR(VLOOKUP($B55,MMWR_TRAD_AGG_RO_COMP[],I$1,0),"ERROR")</f>
        <v>399</v>
      </c>
      <c r="J55" s="228">
        <f t="shared" si="1"/>
        <v>0.41736401673640167</v>
      </c>
      <c r="K55" s="230">
        <f>IFERROR(VLOOKUP($B55,MMWR_TRAD_AGG_RO_COMP[],K$1,0),"ERROR")</f>
        <v>204</v>
      </c>
      <c r="L55" s="231">
        <f>IFERROR(VLOOKUP($B55,MMWR_TRAD_AGG_RO_COMP[],L$1,0),"ERROR")</f>
        <v>149</v>
      </c>
      <c r="M55" s="228">
        <f t="shared" si="2"/>
        <v>0.73039215686274506</v>
      </c>
      <c r="N55" s="230">
        <f>IFERROR(VLOOKUP($B55,MMWR_TRAD_AGG_RO_COMP[],N$1,0),"ERROR")</f>
        <v>652</v>
      </c>
      <c r="O55" s="231">
        <f>IFERROR(VLOOKUP($B55,MMWR_TRAD_AGG_RO_COMP[],O$1,0),"ERROR")</f>
        <v>428</v>
      </c>
      <c r="P55" s="228">
        <f t="shared" si="3"/>
        <v>0.65644171779141103</v>
      </c>
      <c r="Q55" s="232">
        <f>IFERROR(VLOOKUP($B55,MMWR_TRAD_AGG_RO_COMP[],Q$1,0),"ERROR")</f>
        <v>326</v>
      </c>
      <c r="R55" s="232">
        <f>IFERROR(VLOOKUP($B55,MMWR_TRAD_AGG_RO_COMP[],R$1,0),"ERROR")</f>
        <v>127</v>
      </c>
      <c r="S55" s="206">
        <f>IFERROR(VLOOKUP($B55,MMWR_APP_RO[],S$1,0),"ERROR")</f>
        <v>1057</v>
      </c>
      <c r="T55" s="28"/>
    </row>
    <row r="56" spans="1:20" x14ac:dyDescent="0.2">
      <c r="A56" s="28"/>
      <c r="B56" s="109" t="s">
        <v>65</v>
      </c>
      <c r="C56" s="224">
        <f>IFERROR(VLOOKUP($B56,MMWR_TRAD_AGG_RO_COMP[],C$1,0),"ERROR")</f>
        <v>9052</v>
      </c>
      <c r="D56" s="225">
        <f>IFERROR(VLOOKUP($B56,MMWR_TRAD_AGG_RO_COMP[],D$1,0),"ERROR")</f>
        <v>419.69929297390001</v>
      </c>
      <c r="E56" s="226">
        <f>IFERROR(VLOOKUP($B56,MMWR_TRAD_AGG_RO_COMP[],E$1,0),"ERROR")</f>
        <v>12736</v>
      </c>
      <c r="F56" s="227">
        <f>IFERROR(VLOOKUP($B56,MMWR_TRAD_AGG_RO_COMP[],F$1,0),"ERROR")</f>
        <v>4977</v>
      </c>
      <c r="G56" s="228">
        <f t="shared" si="0"/>
        <v>0.39078203517587939</v>
      </c>
      <c r="H56" s="229">
        <f>IFERROR(VLOOKUP($B56,MMWR_TRAD_AGG_RO_COMP[],H$1,0),"ERROR")</f>
        <v>12692</v>
      </c>
      <c r="I56" s="227">
        <f>IFERROR(VLOOKUP($B56,MMWR_TRAD_AGG_RO_COMP[],I$1,0),"ERROR")</f>
        <v>9622</v>
      </c>
      <c r="J56" s="228">
        <f t="shared" si="1"/>
        <v>0.75811534825086668</v>
      </c>
      <c r="K56" s="230">
        <f>IFERROR(VLOOKUP($B56,MMWR_TRAD_AGG_RO_COMP[],K$1,0),"ERROR")</f>
        <v>1962</v>
      </c>
      <c r="L56" s="231">
        <f>IFERROR(VLOOKUP($B56,MMWR_TRAD_AGG_RO_COMP[],L$1,0),"ERROR")</f>
        <v>1742</v>
      </c>
      <c r="M56" s="228">
        <f t="shared" si="2"/>
        <v>0.88786952089704385</v>
      </c>
      <c r="N56" s="230">
        <f>IFERROR(VLOOKUP($B56,MMWR_TRAD_AGG_RO_COMP[],N$1,0),"ERROR")</f>
        <v>6502</v>
      </c>
      <c r="O56" s="231">
        <f>IFERROR(VLOOKUP($B56,MMWR_TRAD_AGG_RO_COMP[],O$1,0),"ERROR")</f>
        <v>5714</v>
      </c>
      <c r="P56" s="228">
        <f t="shared" si="3"/>
        <v>0.87880652107043988</v>
      </c>
      <c r="Q56" s="232">
        <f>IFERROR(VLOOKUP($B56,MMWR_TRAD_AGG_RO_COMP[],Q$1,0),"ERROR")</f>
        <v>0</v>
      </c>
      <c r="R56" s="232">
        <f>IFERROR(VLOOKUP($B56,MMWR_TRAD_AGG_RO_COMP[],R$1,0),"ERROR")</f>
        <v>42</v>
      </c>
      <c r="S56" s="206">
        <f>IFERROR(VLOOKUP($B56,MMWR_APP_RO[],S$1,0),"ERROR")</f>
        <v>8682</v>
      </c>
      <c r="T56" s="28"/>
    </row>
    <row r="57" spans="1:20" x14ac:dyDescent="0.2">
      <c r="A57" s="28"/>
      <c r="B57" s="109" t="s">
        <v>67</v>
      </c>
      <c r="C57" s="224">
        <f>IFERROR(VLOOKUP($B57,MMWR_TRAD_AGG_RO_COMP[],C$1,0),"ERROR")</f>
        <v>6596</v>
      </c>
      <c r="D57" s="225">
        <f>IFERROR(VLOOKUP($B57,MMWR_TRAD_AGG_RO_COMP[],D$1,0),"ERROR")</f>
        <v>281.81640388109997</v>
      </c>
      <c r="E57" s="226">
        <f>IFERROR(VLOOKUP($B57,MMWR_TRAD_AGG_RO_COMP[],E$1,0),"ERROR")</f>
        <v>5443</v>
      </c>
      <c r="F57" s="227">
        <f>IFERROR(VLOOKUP($B57,MMWR_TRAD_AGG_RO_COMP[],F$1,0),"ERROR")</f>
        <v>1629</v>
      </c>
      <c r="G57" s="228">
        <f t="shared" si="0"/>
        <v>0.29928348337313981</v>
      </c>
      <c r="H57" s="229">
        <f>IFERROR(VLOOKUP($B57,MMWR_TRAD_AGG_RO_COMP[],H$1,0),"ERROR")</f>
        <v>7850</v>
      </c>
      <c r="I57" s="227">
        <f>IFERROR(VLOOKUP($B57,MMWR_TRAD_AGG_RO_COMP[],I$1,0),"ERROR")</f>
        <v>4578</v>
      </c>
      <c r="J57" s="228">
        <f t="shared" si="1"/>
        <v>0.58318471337579614</v>
      </c>
      <c r="K57" s="230">
        <f>IFERROR(VLOOKUP($B57,MMWR_TRAD_AGG_RO_COMP[],K$1,0),"ERROR")</f>
        <v>250</v>
      </c>
      <c r="L57" s="231">
        <f>IFERROR(VLOOKUP($B57,MMWR_TRAD_AGG_RO_COMP[],L$1,0),"ERROR")</f>
        <v>202</v>
      </c>
      <c r="M57" s="228">
        <f t="shared" si="2"/>
        <v>0.80800000000000005</v>
      </c>
      <c r="N57" s="230">
        <f>IFERROR(VLOOKUP($B57,MMWR_TRAD_AGG_RO_COMP[],N$1,0),"ERROR")</f>
        <v>3028</v>
      </c>
      <c r="O57" s="231">
        <f>IFERROR(VLOOKUP($B57,MMWR_TRAD_AGG_RO_COMP[],O$1,0),"ERROR")</f>
        <v>2553</v>
      </c>
      <c r="P57" s="228">
        <f t="shared" si="3"/>
        <v>0.84313077939233816</v>
      </c>
      <c r="Q57" s="232">
        <f>IFERROR(VLOOKUP($B57,MMWR_TRAD_AGG_RO_COMP[],Q$1,0),"ERROR")</f>
        <v>0</v>
      </c>
      <c r="R57" s="232">
        <f>IFERROR(VLOOKUP($B57,MMWR_TRAD_AGG_RO_COMP[],R$1,0),"ERROR")</f>
        <v>67</v>
      </c>
      <c r="S57" s="206">
        <f>IFERROR(VLOOKUP($B57,MMWR_APP_RO[],S$1,0),"ERROR")</f>
        <v>6877</v>
      </c>
      <c r="T57" s="28"/>
    </row>
    <row r="58" spans="1:20" x14ac:dyDescent="0.2">
      <c r="A58" s="28"/>
      <c r="B58" s="109" t="s">
        <v>69</v>
      </c>
      <c r="C58" s="224">
        <f>IFERROR(VLOOKUP($B58,MMWR_TRAD_AGG_RO_COMP[],C$1,0),"ERROR")</f>
        <v>8999</v>
      </c>
      <c r="D58" s="225">
        <f>IFERROR(VLOOKUP($B58,MMWR_TRAD_AGG_RO_COMP[],D$1,0),"ERROR")</f>
        <v>388.2255806201</v>
      </c>
      <c r="E58" s="226">
        <f>IFERROR(VLOOKUP($B58,MMWR_TRAD_AGG_RO_COMP[],E$1,0),"ERROR")</f>
        <v>6000</v>
      </c>
      <c r="F58" s="227">
        <f>IFERROR(VLOOKUP($B58,MMWR_TRAD_AGG_RO_COMP[],F$1,0),"ERROR")</f>
        <v>2079</v>
      </c>
      <c r="G58" s="228">
        <f t="shared" si="0"/>
        <v>0.34649999999999997</v>
      </c>
      <c r="H58" s="229">
        <f>IFERROR(VLOOKUP($B58,MMWR_TRAD_AGG_RO_COMP[],H$1,0),"ERROR")</f>
        <v>11294</v>
      </c>
      <c r="I58" s="227">
        <f>IFERROR(VLOOKUP($B58,MMWR_TRAD_AGG_RO_COMP[],I$1,0),"ERROR")</f>
        <v>7298</v>
      </c>
      <c r="J58" s="228">
        <f t="shared" si="1"/>
        <v>0.64618381441473349</v>
      </c>
      <c r="K58" s="230">
        <f>IFERROR(VLOOKUP($B58,MMWR_TRAD_AGG_RO_COMP[],K$1,0),"ERROR")</f>
        <v>3743</v>
      </c>
      <c r="L58" s="231">
        <f>IFERROR(VLOOKUP($B58,MMWR_TRAD_AGG_RO_COMP[],L$1,0),"ERROR")</f>
        <v>3242</v>
      </c>
      <c r="M58" s="228">
        <f t="shared" si="2"/>
        <v>0.86615014694095649</v>
      </c>
      <c r="N58" s="230">
        <f>IFERROR(VLOOKUP($B58,MMWR_TRAD_AGG_RO_COMP[],N$1,0),"ERROR")</f>
        <v>1077</v>
      </c>
      <c r="O58" s="231">
        <f>IFERROR(VLOOKUP($B58,MMWR_TRAD_AGG_RO_COMP[],O$1,0),"ERROR")</f>
        <v>693</v>
      </c>
      <c r="P58" s="228">
        <f t="shared" si="3"/>
        <v>0.64345403899721454</v>
      </c>
      <c r="Q58" s="232">
        <f>IFERROR(VLOOKUP($B58,MMWR_TRAD_AGG_RO_COMP[],Q$1,0),"ERROR")</f>
        <v>0</v>
      </c>
      <c r="R58" s="232">
        <f>IFERROR(VLOOKUP($B58,MMWR_TRAD_AGG_RO_COMP[],R$1,0),"ERROR")</f>
        <v>71</v>
      </c>
      <c r="S58" s="206">
        <f>IFERROR(VLOOKUP($B58,MMWR_APP_RO[],S$1,0),"ERROR")</f>
        <v>5259</v>
      </c>
      <c r="T58" s="28"/>
    </row>
    <row r="59" spans="1:20" x14ac:dyDescent="0.2">
      <c r="A59" s="28"/>
      <c r="B59" s="109" t="s">
        <v>71</v>
      </c>
      <c r="C59" s="224">
        <f>IFERROR(VLOOKUP($B59,MMWR_TRAD_AGG_RO_COMP[],C$1,0),"ERROR")</f>
        <v>3579</v>
      </c>
      <c r="D59" s="225">
        <f>IFERROR(VLOOKUP($B59,MMWR_TRAD_AGG_RO_COMP[],D$1,0),"ERROR")</f>
        <v>478.57781503209998</v>
      </c>
      <c r="E59" s="226">
        <f>IFERROR(VLOOKUP($B59,MMWR_TRAD_AGG_RO_COMP[],E$1,0),"ERROR")</f>
        <v>4005</v>
      </c>
      <c r="F59" s="227">
        <f>IFERROR(VLOOKUP($B59,MMWR_TRAD_AGG_RO_COMP[],F$1,0),"ERROR")</f>
        <v>1575</v>
      </c>
      <c r="G59" s="228">
        <f t="shared" si="0"/>
        <v>0.39325842696629215</v>
      </c>
      <c r="H59" s="229">
        <f>IFERROR(VLOOKUP($B59,MMWR_TRAD_AGG_RO_COMP[],H$1,0),"ERROR")</f>
        <v>4484</v>
      </c>
      <c r="I59" s="227">
        <f>IFERROR(VLOOKUP($B59,MMWR_TRAD_AGG_RO_COMP[],I$1,0),"ERROR")</f>
        <v>3340</v>
      </c>
      <c r="J59" s="228">
        <f t="shared" si="1"/>
        <v>0.74487065120428186</v>
      </c>
      <c r="K59" s="230">
        <f>IFERROR(VLOOKUP($B59,MMWR_TRAD_AGG_RO_COMP[],K$1,0),"ERROR")</f>
        <v>376</v>
      </c>
      <c r="L59" s="231">
        <f>IFERROR(VLOOKUP($B59,MMWR_TRAD_AGG_RO_COMP[],L$1,0),"ERROR")</f>
        <v>345</v>
      </c>
      <c r="M59" s="228">
        <f t="shared" si="2"/>
        <v>0.91755319148936165</v>
      </c>
      <c r="N59" s="230">
        <f>IFERROR(VLOOKUP($B59,MMWR_TRAD_AGG_RO_COMP[],N$1,0),"ERROR")</f>
        <v>1133</v>
      </c>
      <c r="O59" s="231">
        <f>IFERROR(VLOOKUP($B59,MMWR_TRAD_AGG_RO_COMP[],O$1,0),"ERROR")</f>
        <v>807</v>
      </c>
      <c r="P59" s="228">
        <f t="shared" si="3"/>
        <v>0.71226831421006176</v>
      </c>
      <c r="Q59" s="232">
        <f>IFERROR(VLOOKUP($B59,MMWR_TRAD_AGG_RO_COMP[],Q$1,0),"ERROR")</f>
        <v>1</v>
      </c>
      <c r="R59" s="232">
        <f>IFERROR(VLOOKUP($B59,MMWR_TRAD_AGG_RO_COMP[],R$1,0),"ERROR")</f>
        <v>109</v>
      </c>
      <c r="S59" s="206">
        <f>IFERROR(VLOOKUP($B59,MMWR_APP_RO[],S$1,0),"ERROR")</f>
        <v>2473</v>
      </c>
      <c r="T59" s="28"/>
    </row>
    <row r="60" spans="1:20" x14ac:dyDescent="0.2">
      <c r="A60" s="28"/>
      <c r="B60" s="109" t="s">
        <v>74</v>
      </c>
      <c r="C60" s="224">
        <f>IFERROR(VLOOKUP($B60,MMWR_TRAD_AGG_RO_COMP[],C$1,0),"ERROR")</f>
        <v>9318</v>
      </c>
      <c r="D60" s="225">
        <f>IFERROR(VLOOKUP($B60,MMWR_TRAD_AGG_RO_COMP[],D$1,0),"ERROR")</f>
        <v>297.12620734059999</v>
      </c>
      <c r="E60" s="226">
        <f>IFERROR(VLOOKUP($B60,MMWR_TRAD_AGG_RO_COMP[],E$1,0),"ERROR")</f>
        <v>12195</v>
      </c>
      <c r="F60" s="227">
        <f>IFERROR(VLOOKUP($B60,MMWR_TRAD_AGG_RO_COMP[],F$1,0),"ERROR")</f>
        <v>2637</v>
      </c>
      <c r="G60" s="228">
        <f t="shared" si="0"/>
        <v>0.21623616236162363</v>
      </c>
      <c r="H60" s="229">
        <f>IFERROR(VLOOKUP($B60,MMWR_TRAD_AGG_RO_COMP[],H$1,0),"ERROR")</f>
        <v>15161</v>
      </c>
      <c r="I60" s="227">
        <f>IFERROR(VLOOKUP($B60,MMWR_TRAD_AGG_RO_COMP[],I$1,0),"ERROR")</f>
        <v>7339</v>
      </c>
      <c r="J60" s="228">
        <f t="shared" si="1"/>
        <v>0.48407097157179607</v>
      </c>
      <c r="K60" s="230">
        <f>IFERROR(VLOOKUP($B60,MMWR_TRAD_AGG_RO_COMP[],K$1,0),"ERROR")</f>
        <v>1737</v>
      </c>
      <c r="L60" s="231">
        <f>IFERROR(VLOOKUP($B60,MMWR_TRAD_AGG_RO_COMP[],L$1,0),"ERROR")</f>
        <v>1160</v>
      </c>
      <c r="M60" s="228">
        <f t="shared" si="2"/>
        <v>0.66781807714450203</v>
      </c>
      <c r="N60" s="230">
        <f>IFERROR(VLOOKUP($B60,MMWR_TRAD_AGG_RO_COMP[],N$1,0),"ERROR")</f>
        <v>1930</v>
      </c>
      <c r="O60" s="231">
        <f>IFERROR(VLOOKUP($B60,MMWR_TRAD_AGG_RO_COMP[],O$1,0),"ERROR")</f>
        <v>1390</v>
      </c>
      <c r="P60" s="228">
        <f t="shared" si="3"/>
        <v>0.72020725388601037</v>
      </c>
      <c r="Q60" s="232">
        <f>IFERROR(VLOOKUP($B60,MMWR_TRAD_AGG_RO_COMP[],Q$1,0),"ERROR")</f>
        <v>0</v>
      </c>
      <c r="R60" s="232">
        <f>IFERROR(VLOOKUP($B60,MMWR_TRAD_AGG_RO_COMP[],R$1,0),"ERROR")</f>
        <v>68</v>
      </c>
      <c r="S60" s="206">
        <f>IFERROR(VLOOKUP($B60,MMWR_APP_RO[],S$1,0),"ERROR")</f>
        <v>3801</v>
      </c>
      <c r="T60" s="28"/>
    </row>
    <row r="61" spans="1:20" x14ac:dyDescent="0.2">
      <c r="A61" s="28"/>
      <c r="B61" s="117" t="s">
        <v>76</v>
      </c>
      <c r="C61" s="233">
        <f>IFERROR(VLOOKUP($B61,MMWR_TRAD_AGG_RO_COMP[],C$1,0),"ERROR")</f>
        <v>14946</v>
      </c>
      <c r="D61" s="234">
        <f>IFERROR(VLOOKUP($B61,MMWR_TRAD_AGG_RO_COMP[],D$1,0),"ERROR")</f>
        <v>417.06777733169997</v>
      </c>
      <c r="E61" s="235">
        <f>IFERROR(VLOOKUP($B61,MMWR_TRAD_AGG_RO_COMP[],E$1,0),"ERROR")</f>
        <v>8889</v>
      </c>
      <c r="F61" s="236">
        <f>IFERROR(VLOOKUP($B61,MMWR_TRAD_AGG_RO_COMP[],F$1,0),"ERROR")</f>
        <v>3294</v>
      </c>
      <c r="G61" s="237">
        <f t="shared" si="0"/>
        <v>0.3705703678704016</v>
      </c>
      <c r="H61" s="238">
        <f>IFERROR(VLOOKUP($B61,MMWR_TRAD_AGG_RO_COMP[],H$1,0),"ERROR")</f>
        <v>20700</v>
      </c>
      <c r="I61" s="236">
        <f>IFERROR(VLOOKUP($B61,MMWR_TRAD_AGG_RO_COMP[],I$1,0),"ERROR")</f>
        <v>15147</v>
      </c>
      <c r="J61" s="237">
        <f t="shared" si="1"/>
        <v>0.73173913043478256</v>
      </c>
      <c r="K61" s="239">
        <f>IFERROR(VLOOKUP($B61,MMWR_TRAD_AGG_RO_COMP[],K$1,0),"ERROR")</f>
        <v>4502</v>
      </c>
      <c r="L61" s="240">
        <f>IFERROR(VLOOKUP($B61,MMWR_TRAD_AGG_RO_COMP[],L$1,0),"ERROR")</f>
        <v>4047</v>
      </c>
      <c r="M61" s="237">
        <f t="shared" si="2"/>
        <v>0.89893380719680138</v>
      </c>
      <c r="N61" s="239">
        <f>IFERROR(VLOOKUP($B61,MMWR_TRAD_AGG_RO_COMP[],N$1,0),"ERROR")</f>
        <v>7492</v>
      </c>
      <c r="O61" s="240">
        <f>IFERROR(VLOOKUP($B61,MMWR_TRAD_AGG_RO_COMP[],O$1,0),"ERROR")</f>
        <v>5897</v>
      </c>
      <c r="P61" s="237">
        <f t="shared" si="3"/>
        <v>0.78710624666310736</v>
      </c>
      <c r="Q61" s="241">
        <f>IFERROR(VLOOKUP($B61,MMWR_TRAD_AGG_RO_COMP[],Q$1,0),"ERROR")</f>
        <v>0</v>
      </c>
      <c r="R61" s="241">
        <f>IFERROR(VLOOKUP($B61,MMWR_TRAD_AGG_RO_COMP[],R$1,0),"ERROR")</f>
        <v>144</v>
      </c>
      <c r="S61" s="206">
        <f>IFERROR(VLOOKUP($B61,MMWR_APP_RO[],S$1,0),"ERROR")</f>
        <v>4282</v>
      </c>
      <c r="T61" s="28"/>
    </row>
    <row r="62" spans="1:20" x14ac:dyDescent="0.2">
      <c r="A62" s="28"/>
      <c r="B62" s="102" t="s">
        <v>390</v>
      </c>
      <c r="C62" s="217">
        <f>IFERROR(VLOOKUP($B62,MMWR_TRAD_AGG_DISTRICT_COMP[],C$1,0),"ERROR")</f>
        <v>68516</v>
      </c>
      <c r="D62" s="202">
        <f>IFERROR(VLOOKUP($B62,MMWR_TRAD_AGG_DISTRICT_COMP[],D$1,0),"ERROR")</f>
        <v>342.32706229199999</v>
      </c>
      <c r="E62" s="218">
        <f>IFERROR(VLOOKUP($B62,MMWR_TRAD_AGG_DISTRICT_COMP[],E$1,0),"ERROR")</f>
        <v>80005</v>
      </c>
      <c r="F62" s="223">
        <f>IFERROR(VLOOKUP($B62,MMWR_TRAD_AGG_DISTRICT_COMP[],F$1,0),"ERROR")</f>
        <v>29837</v>
      </c>
      <c r="G62" s="219">
        <f t="shared" si="0"/>
        <v>0.3729391913005437</v>
      </c>
      <c r="H62" s="223">
        <f>IFERROR(VLOOKUP($B62,MMWR_TRAD_AGG_DISTRICT_COMP[],H$1,0),"ERROR")</f>
        <v>94495</v>
      </c>
      <c r="I62" s="223">
        <f>IFERROR(VLOOKUP($B62,MMWR_TRAD_AGG_DISTRICT_COMP[],I$1,0),"ERROR")</f>
        <v>61786</v>
      </c>
      <c r="J62" s="219">
        <f t="shared" si="1"/>
        <v>0.65385470130694745</v>
      </c>
      <c r="K62" s="217">
        <f>IFERROR(VLOOKUP($B62,MMWR_TRAD_AGG_DISTRICT_COMP[],K$1,0),"ERROR")</f>
        <v>16820</v>
      </c>
      <c r="L62" s="217">
        <f>IFERROR(VLOOKUP($B62,MMWR_TRAD_AGG_DISTRICT_COMP[],L$1,0),"ERROR")</f>
        <v>14449</v>
      </c>
      <c r="M62" s="219">
        <f t="shared" si="2"/>
        <v>0.85903686087990483</v>
      </c>
      <c r="N62" s="217">
        <f>IFERROR(VLOOKUP($B62,MMWR_TRAD_AGG_DISTRICT_COMP[],N$1,0),"ERROR")</f>
        <v>30597</v>
      </c>
      <c r="O62" s="217">
        <f>IFERROR(VLOOKUP($B62,MMWR_TRAD_AGG_DISTRICT_COMP[],O$1,0),"ERROR")</f>
        <v>21960</v>
      </c>
      <c r="P62" s="219">
        <f t="shared" si="3"/>
        <v>0.71771742327679189</v>
      </c>
      <c r="Q62" s="217">
        <f>IFERROR(VLOOKUP($B62,MMWR_TRAD_AGG_DISTRICT_COMP[],Q$1,0),"ERROR")</f>
        <v>155</v>
      </c>
      <c r="R62" s="220">
        <f>IFERROR(VLOOKUP($B62,MMWR_TRAD_AGG_DISTRICT_COMP[],R$1,0),"ERROR")</f>
        <v>1087</v>
      </c>
      <c r="S62" s="220">
        <f>IFERROR(VLOOKUP($B62,MMWR_APP_RO[],S$1,0),"ERROR")</f>
        <v>80385</v>
      </c>
      <c r="T62" s="28"/>
    </row>
    <row r="63" spans="1:20" x14ac:dyDescent="0.2">
      <c r="A63" s="28"/>
      <c r="B63" s="109" t="s">
        <v>25</v>
      </c>
      <c r="C63" s="224">
        <f>IFERROR(VLOOKUP($B63,MMWR_TRAD_AGG_RO_COMP[],C$1,0),"ERROR")</f>
        <v>13091</v>
      </c>
      <c r="D63" s="225">
        <f>IFERROR(VLOOKUP($B63,MMWR_TRAD_AGG_RO_COMP[],D$1,0),"ERROR")</f>
        <v>366.88900771520002</v>
      </c>
      <c r="E63" s="226">
        <f>IFERROR(VLOOKUP($B63,MMWR_TRAD_AGG_RO_COMP[],E$1,0),"ERROR")</f>
        <v>17704</v>
      </c>
      <c r="F63" s="227">
        <f>IFERROR(VLOOKUP($B63,MMWR_TRAD_AGG_RO_COMP[],F$1,0),"ERROR")</f>
        <v>5972</v>
      </c>
      <c r="G63" s="228">
        <f t="shared" si="0"/>
        <v>0.33732489832806145</v>
      </c>
      <c r="H63" s="229">
        <f>IFERROR(VLOOKUP($B63,MMWR_TRAD_AGG_RO_COMP[],H$1,0),"ERROR")</f>
        <v>17820</v>
      </c>
      <c r="I63" s="227">
        <f>IFERROR(VLOOKUP($B63,MMWR_TRAD_AGG_RO_COMP[],I$1,0),"ERROR")</f>
        <v>12421</v>
      </c>
      <c r="J63" s="228">
        <f t="shared" si="1"/>
        <v>0.6970258136924804</v>
      </c>
      <c r="K63" s="230">
        <f>IFERROR(VLOOKUP($B63,MMWR_TRAD_AGG_RO_COMP[],K$1,0),"ERROR")</f>
        <v>4379</v>
      </c>
      <c r="L63" s="231">
        <f>IFERROR(VLOOKUP($B63,MMWR_TRAD_AGG_RO_COMP[],L$1,0),"ERROR")</f>
        <v>3868</v>
      </c>
      <c r="M63" s="228">
        <f t="shared" si="2"/>
        <v>0.8833066910253482</v>
      </c>
      <c r="N63" s="230">
        <f>IFERROR(VLOOKUP($B63,MMWR_TRAD_AGG_RO_COMP[],N$1,0),"ERROR")</f>
        <v>11482</v>
      </c>
      <c r="O63" s="231">
        <f>IFERROR(VLOOKUP($B63,MMWR_TRAD_AGG_RO_COMP[],O$1,0),"ERROR")</f>
        <v>8446</v>
      </c>
      <c r="P63" s="228">
        <f t="shared" si="3"/>
        <v>0.7355861348197178</v>
      </c>
      <c r="Q63" s="232">
        <f>IFERROR(VLOOKUP($B63,MMWR_TRAD_AGG_RO_COMP[],Q$1,0),"ERROR")</f>
        <v>56</v>
      </c>
      <c r="R63" s="232">
        <f>IFERROR(VLOOKUP($B63,MMWR_TRAD_AGG_RO_COMP[],R$1,0),"ERROR")</f>
        <v>26</v>
      </c>
      <c r="S63" s="206">
        <f>IFERROR(VLOOKUP($B63,MMWR_APP_RO[],S$1,0),"ERROR")</f>
        <v>15650</v>
      </c>
      <c r="T63" s="28"/>
    </row>
    <row r="64" spans="1:20" x14ac:dyDescent="0.2">
      <c r="A64" s="28"/>
      <c r="B64" s="109" t="s">
        <v>42</v>
      </c>
      <c r="C64" s="224">
        <f>IFERROR(VLOOKUP($B64,MMWR_TRAD_AGG_RO_COMP[],C$1,0),"ERROR")</f>
        <v>11209</v>
      </c>
      <c r="D64" s="225">
        <f>IFERROR(VLOOKUP($B64,MMWR_TRAD_AGG_RO_COMP[],D$1,0),"ERROR")</f>
        <v>293.60397894549999</v>
      </c>
      <c r="E64" s="226">
        <f>IFERROR(VLOOKUP($B64,MMWR_TRAD_AGG_RO_COMP[],E$1,0),"ERROR")</f>
        <v>9842</v>
      </c>
      <c r="F64" s="227">
        <f>IFERROR(VLOOKUP($B64,MMWR_TRAD_AGG_RO_COMP[],F$1,0),"ERROR")</f>
        <v>3037</v>
      </c>
      <c r="G64" s="228">
        <f t="shared" si="0"/>
        <v>0.30857549278601909</v>
      </c>
      <c r="H64" s="229">
        <f>IFERROR(VLOOKUP($B64,MMWR_TRAD_AGG_RO_COMP[],H$1,0),"ERROR")</f>
        <v>18763</v>
      </c>
      <c r="I64" s="227">
        <f>IFERROR(VLOOKUP($B64,MMWR_TRAD_AGG_RO_COMP[],I$1,0),"ERROR")</f>
        <v>12063</v>
      </c>
      <c r="J64" s="228">
        <f t="shared" si="1"/>
        <v>0.64291424612268822</v>
      </c>
      <c r="K64" s="230">
        <f>IFERROR(VLOOKUP($B64,MMWR_TRAD_AGG_RO_COMP[],K$1,0),"ERROR")</f>
        <v>1667</v>
      </c>
      <c r="L64" s="231">
        <f>IFERROR(VLOOKUP($B64,MMWR_TRAD_AGG_RO_COMP[],L$1,0),"ERROR")</f>
        <v>1203</v>
      </c>
      <c r="M64" s="228">
        <f t="shared" si="2"/>
        <v>0.72165566886622678</v>
      </c>
      <c r="N64" s="230">
        <f>IFERROR(VLOOKUP($B64,MMWR_TRAD_AGG_RO_COMP[],N$1,0),"ERROR")</f>
        <v>1912</v>
      </c>
      <c r="O64" s="231">
        <f>IFERROR(VLOOKUP($B64,MMWR_TRAD_AGG_RO_COMP[],O$1,0),"ERROR")</f>
        <v>1416</v>
      </c>
      <c r="P64" s="228">
        <f t="shared" si="3"/>
        <v>0.7405857740585774</v>
      </c>
      <c r="Q64" s="232">
        <f>IFERROR(VLOOKUP($B64,MMWR_TRAD_AGG_RO_COMP[],Q$1,0),"ERROR")</f>
        <v>2</v>
      </c>
      <c r="R64" s="232">
        <f>IFERROR(VLOOKUP($B64,MMWR_TRAD_AGG_RO_COMP[],R$1,0),"ERROR")</f>
        <v>56</v>
      </c>
      <c r="S64" s="206">
        <f>IFERROR(VLOOKUP($B64,MMWR_APP_RO[],S$1,0),"ERROR")</f>
        <v>11100</v>
      </c>
      <c r="T64" s="28"/>
    </row>
    <row r="65" spans="1:20" x14ac:dyDescent="0.2">
      <c r="A65" s="28"/>
      <c r="B65" s="109" t="s">
        <v>56</v>
      </c>
      <c r="C65" s="224">
        <f>IFERROR(VLOOKUP($B65,MMWR_TRAD_AGG_RO_COMP[],C$1,0),"ERROR")</f>
        <v>9435</v>
      </c>
      <c r="D65" s="225">
        <f>IFERROR(VLOOKUP($B65,MMWR_TRAD_AGG_RO_COMP[],D$1,0),"ERROR")</f>
        <v>444.37668256490002</v>
      </c>
      <c r="E65" s="226">
        <f>IFERROR(VLOOKUP($B65,MMWR_TRAD_AGG_RO_COMP[],E$1,0),"ERROR")</f>
        <v>7187</v>
      </c>
      <c r="F65" s="227">
        <f>IFERROR(VLOOKUP($B65,MMWR_TRAD_AGG_RO_COMP[],F$1,0),"ERROR")</f>
        <v>3877</v>
      </c>
      <c r="G65" s="228">
        <f t="shared" si="0"/>
        <v>0.53944622234590234</v>
      </c>
      <c r="H65" s="229">
        <f>IFERROR(VLOOKUP($B65,MMWR_TRAD_AGG_RO_COMP[],H$1,0),"ERROR")</f>
        <v>13043</v>
      </c>
      <c r="I65" s="227">
        <f>IFERROR(VLOOKUP($B65,MMWR_TRAD_AGG_RO_COMP[],I$1,0),"ERROR")</f>
        <v>8878</v>
      </c>
      <c r="J65" s="228">
        <f t="shared" si="1"/>
        <v>0.68067162462623632</v>
      </c>
      <c r="K65" s="230">
        <f>IFERROR(VLOOKUP($B65,MMWR_TRAD_AGG_RO_COMP[],K$1,0),"ERROR")</f>
        <v>1788</v>
      </c>
      <c r="L65" s="231">
        <f>IFERROR(VLOOKUP($B65,MMWR_TRAD_AGG_RO_COMP[],L$1,0),"ERROR")</f>
        <v>1706</v>
      </c>
      <c r="M65" s="228">
        <f t="shared" si="2"/>
        <v>0.95413870246085009</v>
      </c>
      <c r="N65" s="230">
        <f>IFERROR(VLOOKUP($B65,MMWR_TRAD_AGG_RO_COMP[],N$1,0),"ERROR")</f>
        <v>1687</v>
      </c>
      <c r="O65" s="231">
        <f>IFERROR(VLOOKUP($B65,MMWR_TRAD_AGG_RO_COMP[],O$1,0),"ERROR")</f>
        <v>835</v>
      </c>
      <c r="P65" s="228">
        <f t="shared" si="3"/>
        <v>0.49496147006520452</v>
      </c>
      <c r="Q65" s="232">
        <f>IFERROR(VLOOKUP($B65,MMWR_TRAD_AGG_RO_COMP[],Q$1,0),"ERROR")</f>
        <v>79</v>
      </c>
      <c r="R65" s="232">
        <f>IFERROR(VLOOKUP($B65,MMWR_TRAD_AGG_RO_COMP[],R$1,0),"ERROR")</f>
        <v>241</v>
      </c>
      <c r="S65" s="206">
        <f>IFERROR(VLOOKUP($B65,MMWR_APP_RO[],S$1,0),"ERROR")</f>
        <v>4418</v>
      </c>
      <c r="T65" s="28"/>
    </row>
    <row r="66" spans="1:20" x14ac:dyDescent="0.2">
      <c r="A66" s="28"/>
      <c r="B66" s="109" t="s">
        <v>60</v>
      </c>
      <c r="C66" s="224">
        <f>IFERROR(VLOOKUP($B66,MMWR_TRAD_AGG_RO_COMP[],C$1,0),"ERROR")</f>
        <v>12434</v>
      </c>
      <c r="D66" s="225">
        <f>IFERROR(VLOOKUP($B66,MMWR_TRAD_AGG_RO_COMP[],D$1,0),"ERROR")</f>
        <v>384.28502493159999</v>
      </c>
      <c r="E66" s="226">
        <f>IFERROR(VLOOKUP($B66,MMWR_TRAD_AGG_RO_COMP[],E$1,0),"ERROR")</f>
        <v>8036</v>
      </c>
      <c r="F66" s="227">
        <f>IFERROR(VLOOKUP($B66,MMWR_TRAD_AGG_RO_COMP[],F$1,0),"ERROR")</f>
        <v>3178</v>
      </c>
      <c r="G66" s="228">
        <f t="shared" si="0"/>
        <v>0.39547038327526135</v>
      </c>
      <c r="H66" s="229">
        <f>IFERROR(VLOOKUP($B66,MMWR_TRAD_AGG_RO_COMP[],H$1,0),"ERROR")</f>
        <v>13891</v>
      </c>
      <c r="I66" s="227">
        <f>IFERROR(VLOOKUP($B66,MMWR_TRAD_AGG_RO_COMP[],I$1,0),"ERROR")</f>
        <v>10291</v>
      </c>
      <c r="J66" s="228">
        <f t="shared" si="1"/>
        <v>0.7408393924123533</v>
      </c>
      <c r="K66" s="230">
        <f>IFERROR(VLOOKUP($B66,MMWR_TRAD_AGG_RO_COMP[],K$1,0),"ERROR")</f>
        <v>4463</v>
      </c>
      <c r="L66" s="231">
        <f>IFERROR(VLOOKUP($B66,MMWR_TRAD_AGG_RO_COMP[],L$1,0),"ERROR")</f>
        <v>4100</v>
      </c>
      <c r="M66" s="228">
        <f t="shared" si="2"/>
        <v>0.91866457539771451</v>
      </c>
      <c r="N66" s="230">
        <f>IFERROR(VLOOKUP($B66,MMWR_TRAD_AGG_RO_COMP[],N$1,0),"ERROR")</f>
        <v>2674</v>
      </c>
      <c r="O66" s="231">
        <f>IFERROR(VLOOKUP($B66,MMWR_TRAD_AGG_RO_COMP[],O$1,0),"ERROR")</f>
        <v>2148</v>
      </c>
      <c r="P66" s="228">
        <f t="shared" si="3"/>
        <v>0.80329094988780858</v>
      </c>
      <c r="Q66" s="232">
        <f>IFERROR(VLOOKUP($B66,MMWR_TRAD_AGG_RO_COMP[],Q$1,0),"ERROR")</f>
        <v>2</v>
      </c>
      <c r="R66" s="232">
        <f>IFERROR(VLOOKUP($B66,MMWR_TRAD_AGG_RO_COMP[],R$1,0),"ERROR")</f>
        <v>336</v>
      </c>
      <c r="S66" s="206">
        <f>IFERROR(VLOOKUP($B66,MMWR_APP_RO[],S$1,0),"ERROR")</f>
        <v>10300</v>
      </c>
      <c r="T66" s="28"/>
    </row>
    <row r="67" spans="1:20" x14ac:dyDescent="0.2">
      <c r="A67" s="28"/>
      <c r="B67" s="109" t="s">
        <v>61</v>
      </c>
      <c r="C67" s="224">
        <f>IFERROR(VLOOKUP($B67,MMWR_TRAD_AGG_RO_COMP[],C$1,0),"ERROR")</f>
        <v>5161</v>
      </c>
      <c r="D67" s="225">
        <f>IFERROR(VLOOKUP($B67,MMWR_TRAD_AGG_RO_COMP[],D$1,0),"ERROR")</f>
        <v>223.08428599109999</v>
      </c>
      <c r="E67" s="226">
        <f>IFERROR(VLOOKUP($B67,MMWR_TRAD_AGG_RO_COMP[],E$1,0),"ERROR")</f>
        <v>9105</v>
      </c>
      <c r="F67" s="227">
        <f>IFERROR(VLOOKUP($B67,MMWR_TRAD_AGG_RO_COMP[],F$1,0),"ERROR")</f>
        <v>2800</v>
      </c>
      <c r="G67" s="228">
        <f t="shared" si="0"/>
        <v>0.30752333882482152</v>
      </c>
      <c r="H67" s="229">
        <f>IFERROR(VLOOKUP($B67,MMWR_TRAD_AGG_RO_COMP[],H$1,0),"ERROR")</f>
        <v>8174</v>
      </c>
      <c r="I67" s="227">
        <f>IFERROR(VLOOKUP($B67,MMWR_TRAD_AGG_RO_COMP[],I$1,0),"ERROR")</f>
        <v>4170</v>
      </c>
      <c r="J67" s="228">
        <f t="shared" si="1"/>
        <v>0.51015414729630537</v>
      </c>
      <c r="K67" s="230">
        <f>IFERROR(VLOOKUP($B67,MMWR_TRAD_AGG_RO_COMP[],K$1,0),"ERROR")</f>
        <v>1544</v>
      </c>
      <c r="L67" s="231">
        <f>IFERROR(VLOOKUP($B67,MMWR_TRAD_AGG_RO_COMP[],L$1,0),"ERROR")</f>
        <v>1371</v>
      </c>
      <c r="M67" s="228">
        <f t="shared" si="2"/>
        <v>0.88795336787564771</v>
      </c>
      <c r="N67" s="230">
        <f>IFERROR(VLOOKUP($B67,MMWR_TRAD_AGG_RO_COMP[],N$1,0),"ERROR")</f>
        <v>1586</v>
      </c>
      <c r="O67" s="231">
        <f>IFERROR(VLOOKUP($B67,MMWR_TRAD_AGG_RO_COMP[],O$1,0),"ERROR")</f>
        <v>1342</v>
      </c>
      <c r="P67" s="228">
        <f t="shared" si="3"/>
        <v>0.84615384615384615</v>
      </c>
      <c r="Q67" s="232">
        <f>IFERROR(VLOOKUP($B67,MMWR_TRAD_AGG_RO_COMP[],Q$1,0),"ERROR")</f>
        <v>5</v>
      </c>
      <c r="R67" s="232">
        <f>IFERROR(VLOOKUP($B67,MMWR_TRAD_AGG_RO_COMP[],R$1,0),"ERROR")</f>
        <v>201</v>
      </c>
      <c r="S67" s="206">
        <f>IFERROR(VLOOKUP($B67,MMWR_APP_RO[],S$1,0),"ERROR")</f>
        <v>6236</v>
      </c>
      <c r="T67" s="28"/>
    </row>
    <row r="68" spans="1:20" x14ac:dyDescent="0.2">
      <c r="A68" s="28"/>
      <c r="B68" s="109" t="s">
        <v>75</v>
      </c>
      <c r="C68" s="224">
        <f>IFERROR(VLOOKUP($B68,MMWR_TRAD_AGG_RO_COMP[],C$1,0),"ERROR")</f>
        <v>2457</v>
      </c>
      <c r="D68" s="225">
        <f>IFERROR(VLOOKUP($B68,MMWR_TRAD_AGG_RO_COMP[],D$1,0),"ERROR")</f>
        <v>303.12169312169999</v>
      </c>
      <c r="E68" s="226">
        <f>IFERROR(VLOOKUP($B68,MMWR_TRAD_AGG_RO_COMP[],E$1,0),"ERROR")</f>
        <v>2888</v>
      </c>
      <c r="F68" s="227">
        <f>IFERROR(VLOOKUP($B68,MMWR_TRAD_AGG_RO_COMP[],F$1,0),"ERROR")</f>
        <v>820</v>
      </c>
      <c r="G68" s="228">
        <f t="shared" si="0"/>
        <v>0.28393351800554018</v>
      </c>
      <c r="H68" s="229">
        <f>IFERROR(VLOOKUP($B68,MMWR_TRAD_AGG_RO_COMP[],H$1,0),"ERROR")</f>
        <v>4056</v>
      </c>
      <c r="I68" s="227">
        <f>IFERROR(VLOOKUP($B68,MMWR_TRAD_AGG_RO_COMP[],I$1,0),"ERROR")</f>
        <v>2620</v>
      </c>
      <c r="J68" s="228">
        <f t="shared" si="1"/>
        <v>0.645956607495069</v>
      </c>
      <c r="K68" s="230">
        <f>IFERROR(VLOOKUP($B68,MMWR_TRAD_AGG_RO_COMP[],K$1,0),"ERROR")</f>
        <v>681</v>
      </c>
      <c r="L68" s="231">
        <f>IFERROR(VLOOKUP($B68,MMWR_TRAD_AGG_RO_COMP[],L$1,0),"ERROR")</f>
        <v>639</v>
      </c>
      <c r="M68" s="228">
        <f t="shared" si="2"/>
        <v>0.93832599118942728</v>
      </c>
      <c r="N68" s="230">
        <f>IFERROR(VLOOKUP($B68,MMWR_TRAD_AGG_RO_COMP[],N$1,0),"ERROR")</f>
        <v>1498</v>
      </c>
      <c r="O68" s="231">
        <f>IFERROR(VLOOKUP($B68,MMWR_TRAD_AGG_RO_COMP[],O$1,0),"ERROR")</f>
        <v>1247</v>
      </c>
      <c r="P68" s="228">
        <f t="shared" si="3"/>
        <v>0.83244325767690253</v>
      </c>
      <c r="Q68" s="232">
        <f>IFERROR(VLOOKUP($B68,MMWR_TRAD_AGG_RO_COMP[],Q$1,0),"ERROR")</f>
        <v>0</v>
      </c>
      <c r="R68" s="232">
        <f>IFERROR(VLOOKUP($B68,MMWR_TRAD_AGG_RO_COMP[],R$1,0),"ERROR")</f>
        <v>5</v>
      </c>
      <c r="S68" s="206">
        <f>IFERROR(VLOOKUP($B68,MMWR_APP_RO[],S$1,0),"ERROR")</f>
        <v>5663</v>
      </c>
      <c r="T68" s="28"/>
    </row>
    <row r="69" spans="1:20" x14ac:dyDescent="0.2">
      <c r="A69" s="28"/>
      <c r="B69" s="117" t="s">
        <v>80</v>
      </c>
      <c r="C69" s="233">
        <f>IFERROR(VLOOKUP($B69,MMWR_TRAD_AGG_RO_COMP[],C$1,0),"ERROR")</f>
        <v>14729</v>
      </c>
      <c r="D69" s="234">
        <f>IFERROR(VLOOKUP($B69,MMWR_TRAD_AGG_RO_COMP[],D$1,0),"ERROR")</f>
        <v>305.10747504919999</v>
      </c>
      <c r="E69" s="235">
        <f>IFERROR(VLOOKUP($B69,MMWR_TRAD_AGG_RO_COMP[],E$1,0),"ERROR")</f>
        <v>25243</v>
      </c>
      <c r="F69" s="236">
        <f>IFERROR(VLOOKUP($B69,MMWR_TRAD_AGG_RO_COMP[],F$1,0),"ERROR")</f>
        <v>10153</v>
      </c>
      <c r="G69" s="237">
        <f t="shared" si="0"/>
        <v>0.40221051380580752</v>
      </c>
      <c r="H69" s="238">
        <f>IFERROR(VLOOKUP($B69,MMWR_TRAD_AGG_RO_COMP[],H$1,0),"ERROR")</f>
        <v>18748</v>
      </c>
      <c r="I69" s="236">
        <f>IFERROR(VLOOKUP($B69,MMWR_TRAD_AGG_RO_COMP[],I$1,0),"ERROR")</f>
        <v>11343</v>
      </c>
      <c r="J69" s="237">
        <f t="shared" si="1"/>
        <v>0.60502453595050143</v>
      </c>
      <c r="K69" s="239">
        <f>IFERROR(VLOOKUP($B69,MMWR_TRAD_AGG_RO_COMP[],K$1,0),"ERROR")</f>
        <v>2298</v>
      </c>
      <c r="L69" s="240">
        <f>IFERROR(VLOOKUP($B69,MMWR_TRAD_AGG_RO_COMP[],L$1,0),"ERROR")</f>
        <v>1562</v>
      </c>
      <c r="M69" s="237">
        <f t="shared" si="2"/>
        <v>0.67972149695387296</v>
      </c>
      <c r="N69" s="239">
        <f>IFERROR(VLOOKUP($B69,MMWR_TRAD_AGG_RO_COMP[],N$1,0),"ERROR")</f>
        <v>9758</v>
      </c>
      <c r="O69" s="240">
        <f>IFERROR(VLOOKUP($B69,MMWR_TRAD_AGG_RO_COMP[],O$1,0),"ERROR")</f>
        <v>6526</v>
      </c>
      <c r="P69" s="237">
        <f t="shared" si="3"/>
        <v>0.66878458700553389</v>
      </c>
      <c r="Q69" s="241">
        <f>IFERROR(VLOOKUP($B69,MMWR_TRAD_AGG_RO_COMP[],Q$1,0),"ERROR")</f>
        <v>11</v>
      </c>
      <c r="R69" s="241">
        <f>IFERROR(VLOOKUP($B69,MMWR_TRAD_AGG_RO_COMP[],R$1,0),"ERROR")</f>
        <v>222</v>
      </c>
      <c r="S69" s="206">
        <f>IFERROR(VLOOKUP($B69,MMWR_APP_RO[],S$1,0),"ERROR")</f>
        <v>27018</v>
      </c>
      <c r="T69" s="28"/>
    </row>
    <row r="70" spans="1:20" x14ac:dyDescent="0.2">
      <c r="A70" s="28"/>
      <c r="B70" s="102" t="s">
        <v>8</v>
      </c>
      <c r="C70" s="217">
        <f>IFERROR(VLOOKUP($B70,MMWR_TRAD_AGG_RO_COMP[],C$1,0),"ERROR")</f>
        <v>55</v>
      </c>
      <c r="D70" s="202">
        <f>IFERROR(VLOOKUP($B70,MMWR_TRAD_AGG_RO_COMP[],D$1,0),"ERROR")</f>
        <v>743.70909090910004</v>
      </c>
      <c r="E70" s="218">
        <f>IFERROR(VLOOKUP($B70,MMWR_TRAD_AGG_RO_COMP[],E$1,0),"ERROR")</f>
        <v>2</v>
      </c>
      <c r="F70" s="223">
        <f>IFERROR(VLOOKUP($B70,MMWR_TRAD_AGG_RO_COMP[],F$1,0),"ERROR")</f>
        <v>1</v>
      </c>
      <c r="G70" s="219">
        <f>IFERROR(F70/E70,"0%")</f>
        <v>0.5</v>
      </c>
      <c r="H70" s="223">
        <f>IFERROR(VLOOKUP($B70,MMWR_TRAD_AGG_RO_COMP[],H$1,0),"ERROR")</f>
        <v>58</v>
      </c>
      <c r="I70" s="223">
        <f>IFERROR(VLOOKUP($B70,MMWR_TRAD_AGG_RO_COMP[],I$1,0),"ERROR")</f>
        <v>57</v>
      </c>
      <c r="J70" s="219">
        <f>IFERROR(I70/H70,"0%")</f>
        <v>0.98275862068965514</v>
      </c>
      <c r="K70" s="217">
        <f>IFERROR(VLOOKUP($B70,MMWR_TRAD_AGG_RO_COMP[],K$1,0),"ERROR")</f>
        <v>1</v>
      </c>
      <c r="L70" s="217">
        <f>IFERROR(VLOOKUP($B70,MMWR_TRAD_AGG_RO_COMP[],L$1,0),"ERROR")</f>
        <v>1</v>
      </c>
      <c r="M70" s="219">
        <f>IFERROR(L70/K70,"0%")</f>
        <v>1</v>
      </c>
      <c r="N70" s="217">
        <f>IFERROR(VLOOKUP($B70,MMWR_TRAD_AGG_RO_COMP[],N$1,0),"ERROR")</f>
        <v>15579</v>
      </c>
      <c r="O70" s="217">
        <f>IFERROR(VLOOKUP($B70,MMWR_TRAD_AGG_RO_COMP[],O$1,0),"ERROR")</f>
        <v>3368</v>
      </c>
      <c r="P70" s="219">
        <f>IFERROR(O70/N70,"0%")</f>
        <v>0.21618845882277424</v>
      </c>
      <c r="Q70" s="217">
        <f>IFERROR(VLOOKUP($B70,MMWR_TRAD_AGG_RO_COMP[],Q$1,0),"ERROR")</f>
        <v>0</v>
      </c>
      <c r="R70" s="220">
        <f>IFERROR(VLOOKUP($B70,MMWR_TRAD_AGG_RO_COMP[],R$1,0),"ERROR")</f>
        <v>6</v>
      </c>
      <c r="S70" s="220">
        <f>IFERROR(VLOOKUP($B70,MMWR_APP_RO[],S$1,0),"ERROR")</f>
        <v>13004</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46" t="s">
        <v>497</v>
      </c>
      <c r="D72" s="447"/>
      <c r="E72" s="447"/>
      <c r="F72" s="447"/>
      <c r="G72" s="447"/>
      <c r="H72" s="447"/>
      <c r="I72" s="447"/>
      <c r="J72" s="447"/>
      <c r="K72" s="447"/>
      <c r="L72" s="447"/>
      <c r="M72" s="447"/>
      <c r="N72" s="447"/>
      <c r="O72" s="447"/>
      <c r="P72" s="447"/>
      <c r="Q72" s="447"/>
      <c r="R72" s="447"/>
      <c r="S72" s="448"/>
      <c r="T72" s="28"/>
    </row>
    <row r="73" spans="1:20" x14ac:dyDescent="0.2">
      <c r="A73" s="25"/>
      <c r="B73" s="118"/>
      <c r="C73" s="449" t="s">
        <v>233</v>
      </c>
      <c r="D73" s="450"/>
      <c r="E73" s="451" t="s">
        <v>213</v>
      </c>
      <c r="F73" s="452"/>
      <c r="G73" s="453"/>
      <c r="H73" s="451" t="s">
        <v>7</v>
      </c>
      <c r="I73" s="452"/>
      <c r="J73" s="453"/>
      <c r="K73" s="451" t="s">
        <v>33</v>
      </c>
      <c r="L73" s="452"/>
      <c r="M73" s="453"/>
      <c r="N73" s="451" t="s">
        <v>8</v>
      </c>
      <c r="O73" s="452"/>
      <c r="P73" s="453"/>
      <c r="Q73" s="82" t="s">
        <v>9</v>
      </c>
      <c r="R73" s="83" t="s">
        <v>10</v>
      </c>
      <c r="S73" s="83" t="s">
        <v>11</v>
      </c>
      <c r="T73" s="28"/>
    </row>
    <row r="74" spans="1:20" ht="38.25" x14ac:dyDescent="0.2">
      <c r="A74" s="92"/>
      <c r="B74" s="119"/>
      <c r="C74" s="85" t="s">
        <v>12</v>
      </c>
      <c r="D74" s="86" t="s">
        <v>140</v>
      </c>
      <c r="E74" s="87" t="s">
        <v>12</v>
      </c>
      <c r="F74" s="88" t="s">
        <v>3</v>
      </c>
      <c r="G74" s="89" t="s">
        <v>4</v>
      </c>
      <c r="H74" s="87" t="s">
        <v>12</v>
      </c>
      <c r="I74" s="88" t="s">
        <v>3</v>
      </c>
      <c r="J74" s="89" t="s">
        <v>4</v>
      </c>
      <c r="K74" s="87" t="s">
        <v>12</v>
      </c>
      <c r="L74" s="88" t="s">
        <v>3</v>
      </c>
      <c r="M74" s="89" t="s">
        <v>4</v>
      </c>
      <c r="N74" s="87" t="s">
        <v>12</v>
      </c>
      <c r="O74" s="88" t="s">
        <v>3</v>
      </c>
      <c r="P74" s="89" t="s">
        <v>4</v>
      </c>
      <c r="Q74" s="90" t="s">
        <v>12</v>
      </c>
      <c r="R74" s="90" t="s">
        <v>12</v>
      </c>
      <c r="S74" s="91" t="s">
        <v>498</v>
      </c>
      <c r="T74" s="28"/>
    </row>
    <row r="75" spans="1:20" x14ac:dyDescent="0.2">
      <c r="A75" s="25"/>
      <c r="B75" s="102" t="s">
        <v>472</v>
      </c>
      <c r="C75" s="242">
        <f>IFERROR(VLOOKUP($B75,MMWR_TRAD_AGG_RO_PEN[],C$1,0),"ERROR")</f>
        <v>20000</v>
      </c>
      <c r="D75" s="243">
        <f>IFERROR(VLOOKUP($B75,MMWR_TRAD_AGG_RO_PEN[],D$1,0),"ERROR")</f>
        <v>81.5989</v>
      </c>
      <c r="E75" s="242">
        <f>IFERROR(VLOOKUP($B75,MMWR_TRAD_AGG_RO_PEN[],E$1,0),"ERROR")</f>
        <v>23361</v>
      </c>
      <c r="F75" s="242">
        <f>IFERROR(VLOOKUP($B75,MMWR_TRAD_AGG_RO_PEN[],F$1,0),"ERROR")</f>
        <v>2683</v>
      </c>
      <c r="G75" s="244">
        <f>IFERROR(F75/E75,"0%")</f>
        <v>0.11484953555070417</v>
      </c>
      <c r="H75" s="242">
        <f>IFERROR(VLOOKUP($B75,MMWR_TRAD_AGG_RO_PEN[],H$1,0),"ERROR")</f>
        <v>33221</v>
      </c>
      <c r="I75" s="242">
        <f>IFERROR(VLOOKUP($B75,MMWR_TRAD_AGG_RO_PEN[],I$1,0),"ERROR")</f>
        <v>6013</v>
      </c>
      <c r="J75" s="244">
        <f>IFERROR(I75/H75,"0%")</f>
        <v>0.18099996989855813</v>
      </c>
      <c r="K75" s="242">
        <f>IFERROR(VLOOKUP($B75,MMWR_TRAD_AGG_RO_PEN[],K$1,0),"ERROR")</f>
        <v>860</v>
      </c>
      <c r="L75" s="242">
        <f>IFERROR(VLOOKUP($B75,MMWR_TRAD_AGG_RO_PEN[],L$1,0),"ERROR")</f>
        <v>842</v>
      </c>
      <c r="M75" s="244">
        <f>IFERROR(L75/K75,"0%")</f>
        <v>0.97906976744186047</v>
      </c>
      <c r="N75" s="242">
        <f>IFERROR(VLOOKUP($B75,MMWR_TRAD_AGG_RO_PEN[],N$1,0),"ERROR")</f>
        <v>5315</v>
      </c>
      <c r="O75" s="242">
        <f>IFERROR(VLOOKUP($B75,MMWR_TRAD_AGG_RO_PEN[],O$1,0),"ERROR")</f>
        <v>983</v>
      </c>
      <c r="P75" s="244">
        <f>IFERROR(O75/N75,"0%")</f>
        <v>0.18494825964252118</v>
      </c>
      <c r="Q75" s="242">
        <f>IFERROR(VLOOKUP($B75,MMWR_TRAD_AGG_RO_PEN[],Q$1,0),"ERROR")</f>
        <v>10541</v>
      </c>
      <c r="R75" s="245">
        <f>IFERROR(VLOOKUP($B75,MMWR_TRAD_AGG_RO_PEN[],R$1,0),"ERROR")</f>
        <v>4496</v>
      </c>
      <c r="S75" s="245">
        <f>IFERROR(VLOOKUP($B75,MMWR_APP_RO[],S$1,0),"ERROR")</f>
        <v>6059</v>
      </c>
      <c r="T75" s="28"/>
    </row>
    <row r="76" spans="1:20" x14ac:dyDescent="0.2">
      <c r="A76" s="108"/>
      <c r="B76" s="123" t="s">
        <v>218</v>
      </c>
      <c r="C76" s="246">
        <f>IFERROR(VLOOKUP($B76,MMWR_TRAD_AGG_RO_PEN[],C$1,0),"ERROR")</f>
        <v>12407</v>
      </c>
      <c r="D76" s="247">
        <f>IFERROR(VLOOKUP($B76,MMWR_TRAD_AGG_RO_PEN[],D$1,0),"ERROR")</f>
        <v>99.582010155600003</v>
      </c>
      <c r="E76" s="246">
        <f>IFERROR(VLOOKUP($B76,MMWR_TRAD_AGG_RO_PEN[],E$1,0),"ERROR")</f>
        <v>10847</v>
      </c>
      <c r="F76" s="246">
        <f>IFERROR(VLOOKUP($B76,MMWR_TRAD_AGG_RO_PEN[],F$1,0),"ERROR")</f>
        <v>1836</v>
      </c>
      <c r="G76" s="228">
        <f>IFERROR(F76/E76,"0%")</f>
        <v>0.16926339079929933</v>
      </c>
      <c r="H76" s="246">
        <f>IFERROR(VLOOKUP($B76,MMWR_TRAD_AGG_RO_PEN[],H$1,0),"ERROR")</f>
        <v>19278</v>
      </c>
      <c r="I76" s="246">
        <f>IFERROR(VLOOKUP($B76,MMWR_TRAD_AGG_RO_PEN[],I$1,0),"ERROR")</f>
        <v>4603</v>
      </c>
      <c r="J76" s="228">
        <f>IFERROR(I76/H76,"0%")</f>
        <v>0.23876958190683681</v>
      </c>
      <c r="K76" s="246">
        <f>IFERROR(VLOOKUP($B76,MMWR_TRAD_AGG_RO_PEN[],K$1,0),"ERROR")</f>
        <v>529</v>
      </c>
      <c r="L76" s="246">
        <f>IFERROR(VLOOKUP($B76,MMWR_TRAD_AGG_RO_PEN[],L$1,0),"ERROR")</f>
        <v>525</v>
      </c>
      <c r="M76" s="228">
        <f>IFERROR(L76/K76,"0%")</f>
        <v>0.99243856332703217</v>
      </c>
      <c r="N76" s="246">
        <f>IFERROR(VLOOKUP($B76,MMWR_TRAD_AGG_RO_PEN[],N$1,0),"ERROR")</f>
        <v>4435</v>
      </c>
      <c r="O76" s="246">
        <f>IFERROR(VLOOKUP($B76,MMWR_TRAD_AGG_RO_PEN[],O$1,0),"ERROR")</f>
        <v>607</v>
      </c>
      <c r="P76" s="228">
        <f>IFERROR(O76/N76,"0%")</f>
        <v>0.13686583990980833</v>
      </c>
      <c r="Q76" s="246">
        <f>IFERROR(VLOOKUP($B76,MMWR_TRAD_AGG_RO_PEN[],Q$1,0),"ERROR")</f>
        <v>1803</v>
      </c>
      <c r="R76" s="246">
        <f>IFERROR(VLOOKUP($B76,MMWR_TRAD_AGG_RO_PEN[],R$1,0),"ERROR")</f>
        <v>2987</v>
      </c>
      <c r="S76" s="248">
        <f>IFERROR(VLOOKUP($B76,MMWR_APP_RO[],S$1,0),"ERROR")</f>
        <v>2567</v>
      </c>
      <c r="T76" s="28"/>
    </row>
    <row r="77" spans="1:20" x14ac:dyDescent="0.2">
      <c r="A77" s="108"/>
      <c r="B77" s="123" t="s">
        <v>217</v>
      </c>
      <c r="C77" s="246">
        <f>IFERROR(VLOOKUP($B77,MMWR_TRAD_AGG_RO_PEN[],C$1,0),"ERROR")</f>
        <v>4608</v>
      </c>
      <c r="D77" s="247">
        <f>IFERROR(VLOOKUP($B77,MMWR_TRAD_AGG_RO_PEN[],D$1,0),"ERROR")</f>
        <v>60.453993055600002</v>
      </c>
      <c r="E77" s="246">
        <f>IFERROR(VLOOKUP($B77,MMWR_TRAD_AGG_RO_PEN[],E$1,0),"ERROR")</f>
        <v>5520</v>
      </c>
      <c r="F77" s="246">
        <f>IFERROR(VLOOKUP($B77,MMWR_TRAD_AGG_RO_PEN[],F$1,0),"ERROR")</f>
        <v>429</v>
      </c>
      <c r="G77" s="228">
        <f>IFERROR(F77/E77,"0%")</f>
        <v>7.7717391304347822E-2</v>
      </c>
      <c r="H77" s="246">
        <f>IFERROR(VLOOKUP($B77,MMWR_TRAD_AGG_RO_PEN[],H$1,0),"ERROR")</f>
        <v>7888</v>
      </c>
      <c r="I77" s="246">
        <f>IFERROR(VLOOKUP($B77,MMWR_TRAD_AGG_RO_PEN[],I$1,0),"ERROR")</f>
        <v>551</v>
      </c>
      <c r="J77" s="228">
        <f>IFERROR(I77/H77,"0%")</f>
        <v>6.985294117647059E-2</v>
      </c>
      <c r="K77" s="246">
        <f>IFERROR(VLOOKUP($B77,MMWR_TRAD_AGG_RO_PEN[],K$1,0),"ERROR")</f>
        <v>31</v>
      </c>
      <c r="L77" s="246">
        <f>IFERROR(VLOOKUP($B77,MMWR_TRAD_AGG_RO_PEN[],L$1,0),"ERROR")</f>
        <v>30</v>
      </c>
      <c r="M77" s="228">
        <f>IFERROR(L77/K77,"0%")</f>
        <v>0.967741935483871</v>
      </c>
      <c r="N77" s="246">
        <f>IFERROR(VLOOKUP($B77,MMWR_TRAD_AGG_RO_PEN[],N$1,0),"ERROR")</f>
        <v>471</v>
      </c>
      <c r="O77" s="246">
        <f>IFERROR(VLOOKUP($B77,MMWR_TRAD_AGG_RO_PEN[],O$1,0),"ERROR")</f>
        <v>87</v>
      </c>
      <c r="P77" s="228">
        <f>IFERROR(O77/N77,"0%")</f>
        <v>0.18471337579617833</v>
      </c>
      <c r="Q77" s="246">
        <f>IFERROR(VLOOKUP($B77,MMWR_TRAD_AGG_RO_PEN[],Q$1,0),"ERROR")</f>
        <v>3838</v>
      </c>
      <c r="R77" s="246">
        <f>IFERROR(VLOOKUP($B77,MMWR_TRAD_AGG_RO_PEN[],R$1,0),"ERROR")</f>
        <v>452</v>
      </c>
      <c r="S77" s="248">
        <f>IFERROR(VLOOKUP($B77,MMWR_APP_RO[],S$1,0),"ERROR")</f>
        <v>2063</v>
      </c>
      <c r="T77" s="28"/>
    </row>
    <row r="78" spans="1:20" x14ac:dyDescent="0.2">
      <c r="A78" s="108"/>
      <c r="B78" s="123" t="s">
        <v>220</v>
      </c>
      <c r="C78" s="246">
        <f>IFERROR(VLOOKUP($B78,MMWR_TRAD_AGG_RO_PEN[],C$1,0),"ERROR")</f>
        <v>2985</v>
      </c>
      <c r="D78" s="247">
        <f>IFERROR(VLOOKUP($B78,MMWR_TRAD_AGG_RO_PEN[],D$1,0),"ERROR")</f>
        <v>39.4948073702</v>
      </c>
      <c r="E78" s="246">
        <f>IFERROR(VLOOKUP($B78,MMWR_TRAD_AGG_RO_PEN[],E$1,0),"ERROR")</f>
        <v>6733</v>
      </c>
      <c r="F78" s="246">
        <f>IFERROR(VLOOKUP($B78,MMWR_TRAD_AGG_RO_PEN[],F$1,0),"ERROR")</f>
        <v>326</v>
      </c>
      <c r="G78" s="228">
        <f>IFERROR(F78/E78,"0%")</f>
        <v>4.8418238526659739E-2</v>
      </c>
      <c r="H78" s="246">
        <f>IFERROR(VLOOKUP($B78,MMWR_TRAD_AGG_RO_PEN[],H$1,0),"ERROR")</f>
        <v>5019</v>
      </c>
      <c r="I78" s="246">
        <f>IFERROR(VLOOKUP($B78,MMWR_TRAD_AGG_RO_PEN[],I$1,0),"ERROR")</f>
        <v>9</v>
      </c>
      <c r="J78" s="228">
        <f>IFERROR(I78/H78,"0%")</f>
        <v>1.7931858936043037E-3</v>
      </c>
      <c r="K78" s="246">
        <f>IFERROR(VLOOKUP($B78,MMWR_TRAD_AGG_RO_PEN[],K$1,0),"ERROR")</f>
        <v>13</v>
      </c>
      <c r="L78" s="246">
        <f>IFERROR(VLOOKUP($B78,MMWR_TRAD_AGG_RO_PEN[],L$1,0),"ERROR")</f>
        <v>11</v>
      </c>
      <c r="M78" s="228">
        <f>IFERROR(L78/K78,"0%")</f>
        <v>0.84615384615384615</v>
      </c>
      <c r="N78" s="246">
        <f>IFERROR(VLOOKUP($B78,MMWR_TRAD_AGG_RO_PEN[],N$1,0),"ERROR")</f>
        <v>108</v>
      </c>
      <c r="O78" s="246">
        <f>IFERROR(VLOOKUP($B78,MMWR_TRAD_AGG_RO_PEN[],O$1,0),"ERROR")</f>
        <v>28</v>
      </c>
      <c r="P78" s="228">
        <f>IFERROR(O78/N78,"0%")</f>
        <v>0.25925925925925924</v>
      </c>
      <c r="Q78" s="246">
        <f>IFERROR(VLOOKUP($B78,MMWR_TRAD_AGG_RO_PEN[],Q$1,0),"ERROR")</f>
        <v>4790</v>
      </c>
      <c r="R78" s="246">
        <f>IFERROR(VLOOKUP($B78,MMWR_TRAD_AGG_RO_PEN[],R$1,0),"ERROR")</f>
        <v>1057</v>
      </c>
      <c r="S78" s="248">
        <f>IFERROR(VLOOKUP($B78,MMWR_APP_RO[],S$1,0),"ERROR")</f>
        <v>1429</v>
      </c>
      <c r="T78" s="28"/>
    </row>
    <row r="79" spans="1:20" x14ac:dyDescent="0.2">
      <c r="A79" s="93"/>
      <c r="B79" s="102" t="s">
        <v>232</v>
      </c>
      <c r="C79" s="223">
        <f>IFERROR(VLOOKUP($B79,MMWR_TRAD_AGG_RO_PEN[],C$1,0),"ERROR")</f>
        <v>0</v>
      </c>
      <c r="D79" s="194">
        <f>IFERROR(VLOOKUP($B79,MMWR_TRAD_AGG_RO_PEN[],D$1,0),"ERROR")</f>
        <v>0</v>
      </c>
      <c r="E79" s="223">
        <f>IFERROR(VLOOKUP($B79,MMWR_TRAD_AGG_RO_PEN[],E$1,0),"ERROR")</f>
        <v>261</v>
      </c>
      <c r="F79" s="223">
        <f>IFERROR(VLOOKUP($B79,MMWR_TRAD_AGG_RO_PEN[],F$1,0),"ERROR")</f>
        <v>92</v>
      </c>
      <c r="G79" s="219">
        <f>IFERROR(F79/E79,"0%")</f>
        <v>0.35249042145593867</v>
      </c>
      <c r="H79" s="223">
        <f>IFERROR(VLOOKUP($B79,MMWR_TRAD_AGG_RO_PEN[],H$1,0),"ERROR")</f>
        <v>1036</v>
      </c>
      <c r="I79" s="223">
        <f>IFERROR(VLOOKUP($B79,MMWR_TRAD_AGG_RO_PEN[],I$1,0),"ERROR")</f>
        <v>850</v>
      </c>
      <c r="J79" s="219">
        <f>IFERROR(I79/H79,"0%")</f>
        <v>0.82046332046332049</v>
      </c>
      <c r="K79" s="223">
        <f>IFERROR(VLOOKUP($B79,MMWR_TRAD_AGG_RO_PEN[],K$1,0),"ERROR")</f>
        <v>287</v>
      </c>
      <c r="L79" s="223">
        <f>IFERROR(VLOOKUP($B79,MMWR_TRAD_AGG_RO_PEN[],L$1,0),"ERROR")</f>
        <v>276</v>
      </c>
      <c r="M79" s="219">
        <f>IFERROR(L79/K79,"0%")</f>
        <v>0.9616724738675958</v>
      </c>
      <c r="N79" s="223">
        <f>IFERROR(VLOOKUP($B79,MMWR_TRAD_AGG_RO_PEN[],N$1,0),"ERROR")</f>
        <v>301</v>
      </c>
      <c r="O79" s="223">
        <f>IFERROR(VLOOKUP($B79,MMWR_TRAD_AGG_RO_PEN[],O$1,0),"ERROR")</f>
        <v>261</v>
      </c>
      <c r="P79" s="219">
        <f>IFERROR(O79/N79,"0%")</f>
        <v>0.86710963455149503</v>
      </c>
      <c r="Q79" s="223">
        <f>IFERROR(VLOOKUP($B79,MMWR_TRAD_AGG_RO_PEN[],Q$1,0),"ERROR")</f>
        <v>110</v>
      </c>
      <c r="R79" s="249">
        <f>IFERROR(VLOOKUP($B79,MMWR_TRAD_AGG_RO_PEN[],R$1,0),"ERROR")</f>
        <v>0</v>
      </c>
      <c r="S79" s="249"/>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A3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4" customFormat="1" ht="15" customHeight="1"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8"/>
    </row>
    <row r="2" spans="1:20" s="124" customFormat="1" ht="26.25" x14ac:dyDescent="0.4">
      <c r="A2" s="25"/>
      <c r="B2" s="26"/>
      <c r="C2" s="446" t="str">
        <f>UPPER("INVENTORY BY STATE "&amp;Transformation!B4)</f>
        <v>INVENTORY BY STATE AS OF: JUNE 20, 2015</v>
      </c>
      <c r="D2" s="447"/>
      <c r="E2" s="447"/>
      <c r="F2" s="447"/>
      <c r="G2" s="447"/>
      <c r="H2" s="447"/>
      <c r="I2" s="447"/>
      <c r="J2" s="447"/>
      <c r="K2" s="447"/>
      <c r="L2" s="447"/>
      <c r="M2" s="447"/>
      <c r="N2" s="447"/>
      <c r="O2" s="447"/>
      <c r="P2" s="447"/>
      <c r="Q2" s="447"/>
      <c r="R2" s="447"/>
      <c r="S2" s="448"/>
      <c r="T2" s="28"/>
    </row>
    <row r="3" spans="1:20" s="124" customFormat="1" x14ac:dyDescent="0.2">
      <c r="A3" s="25"/>
      <c r="B3" s="26"/>
      <c r="C3" s="454" t="s">
        <v>233</v>
      </c>
      <c r="D3" s="454"/>
      <c r="E3" s="451" t="s">
        <v>213</v>
      </c>
      <c r="F3" s="452"/>
      <c r="G3" s="453"/>
      <c r="H3" s="451" t="s">
        <v>7</v>
      </c>
      <c r="I3" s="452"/>
      <c r="J3" s="453"/>
      <c r="K3" s="451" t="s">
        <v>33</v>
      </c>
      <c r="L3" s="452"/>
      <c r="M3" s="453"/>
      <c r="N3" s="451" t="s">
        <v>8</v>
      </c>
      <c r="O3" s="452"/>
      <c r="P3" s="453"/>
      <c r="Q3" s="82" t="s">
        <v>9</v>
      </c>
      <c r="R3" s="83" t="s">
        <v>10</v>
      </c>
      <c r="S3" s="83" t="s">
        <v>11</v>
      </c>
      <c r="T3" s="28"/>
    </row>
    <row r="4" spans="1:20" s="124" customFormat="1"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0" t="s">
        <v>498</v>
      </c>
      <c r="T4" s="28"/>
    </row>
    <row r="5" spans="1:20" s="124" customFormat="1" ht="26.25" x14ac:dyDescent="0.4">
      <c r="A5" s="25"/>
      <c r="B5" s="125"/>
      <c r="C5" s="446" t="s">
        <v>496</v>
      </c>
      <c r="D5" s="447"/>
      <c r="E5" s="447"/>
      <c r="F5" s="447"/>
      <c r="G5" s="447"/>
      <c r="H5" s="447"/>
      <c r="I5" s="447"/>
      <c r="J5" s="447"/>
      <c r="K5" s="447"/>
      <c r="L5" s="447"/>
      <c r="M5" s="447"/>
      <c r="N5" s="447"/>
      <c r="O5" s="447"/>
      <c r="P5" s="447"/>
      <c r="Q5" s="447"/>
      <c r="R5" s="447"/>
      <c r="S5" s="448"/>
      <c r="T5" s="28"/>
    </row>
    <row r="6" spans="1:20" s="124" customFormat="1" x14ac:dyDescent="0.2">
      <c r="A6" s="93"/>
      <c r="B6" s="126" t="s">
        <v>471</v>
      </c>
      <c r="C6" s="95">
        <f>IFERROR(VLOOKUP($B6,MMWR_TRAD_AGG_ST_DISTRICT_COMP[],C$1,0),"ERROR")</f>
        <v>361890</v>
      </c>
      <c r="D6" s="96">
        <f>IFERROR(VLOOKUP($B6,MMWR_TRAD_AGG_ST_DISTRICT_COMP[],D$1,0),"ERROR")</f>
        <v>358.84367901849998</v>
      </c>
      <c r="E6" s="97">
        <f>IFERROR(VLOOKUP($B6,MMWR_TRAD_AGG_ST_DISTRICT_COMP[],E$1,0),"ERROR")</f>
        <v>370253</v>
      </c>
      <c r="F6" s="98">
        <f>IFERROR(VLOOKUP($B6,MMWR_TRAD_AGG_ST_DISTRICT_COMP[],F$1,0),"ERROR")</f>
        <v>129379</v>
      </c>
      <c r="G6" s="99">
        <f t="shared" ref="G6:G37" si="0">IFERROR(F6/E6,"0%")</f>
        <v>0.3494340356458962</v>
      </c>
      <c r="H6" s="97">
        <f>IFERROR(VLOOKUP($B6,MMWR_TRAD_AGG_ST_DISTRICT_COMP[],H$1,0),"ERROR")</f>
        <v>492886</v>
      </c>
      <c r="I6" s="98">
        <f>IFERROR(VLOOKUP($B6,MMWR_TRAD_AGG_ST_DISTRICT_COMP[],I$1,0),"ERROR")</f>
        <v>314646</v>
      </c>
      <c r="J6" s="100">
        <f t="shared" ref="J6:J37" si="1">IFERROR(I6/H6,"0%")</f>
        <v>0.63837479660611174</v>
      </c>
      <c r="K6" s="97">
        <f>IFERROR(VLOOKUP($B6,MMWR_TRAD_AGG_ST_DISTRICT_COMP[],K$1,0),"ERROR")</f>
        <v>72565</v>
      </c>
      <c r="L6" s="98">
        <f>IFERROR(VLOOKUP($B6,MMWR_TRAD_AGG_ST_DISTRICT_COMP[],L$1,0),"ERROR")</f>
        <v>58825</v>
      </c>
      <c r="M6" s="100">
        <f t="shared" ref="M6:M37" si="2">IFERROR(L6/K6,"0%")</f>
        <v>0.81065251843175079</v>
      </c>
      <c r="N6" s="97">
        <f>IFERROR(VLOOKUP($B6,MMWR_TRAD_AGG_ST_DISTRICT_COMP[],N$1,0),"ERROR")</f>
        <v>159419</v>
      </c>
      <c r="O6" s="98">
        <f>IFERROR(VLOOKUP($B6,MMWR_TRAD_AGG_ST_DISTRICT_COMP[],O$1,0),"ERROR")</f>
        <v>110707</v>
      </c>
      <c r="P6" s="100">
        <f t="shared" ref="P6:P37" si="3">IFERROR(O6/N6,"0%")</f>
        <v>0.69444043683626167</v>
      </c>
      <c r="Q6" s="101">
        <f>IFERROR(VLOOKUP($B6,MMWR_TRAD_AGG_ST_DISTRICT_COMP[],Q$1,0),"ERROR")</f>
        <v>7253</v>
      </c>
      <c r="R6" s="101">
        <f>IFERROR(VLOOKUP($B6,MMWR_TRAD_AGG_ST_DISTRICT_COMP[],R$1,0),"ERROR")</f>
        <v>4359</v>
      </c>
      <c r="S6" s="101">
        <f>S7+S23+S36+S46+S56+S64</f>
        <v>295688</v>
      </c>
      <c r="T6" s="28"/>
    </row>
    <row r="7" spans="1:20" s="124" customFormat="1" x14ac:dyDescent="0.2">
      <c r="A7" s="93"/>
      <c r="B7" s="127" t="s">
        <v>379</v>
      </c>
      <c r="C7" s="103">
        <f>IF(SUM(C8:C22)&lt;&gt;VLOOKUP($B7,MMWR_TRAD_AGG_ST_DISTRICT_COMP[],C$1,0),"ERROR",
VLOOKUP($B7,MMWR_TRAD_AGG_ST_DISTRICT_COMP[],C$1,0))</f>
        <v>75615</v>
      </c>
      <c r="D7" s="104">
        <f>IFERROR(VLOOKUP($B7,MMWR_TRAD_AGG_ST_DISTRICT_COMP[],D$1,0),"ERROR")</f>
        <v>372.03302254840003</v>
      </c>
      <c r="E7" s="103">
        <f>IF(SUM(E8:E22)&lt;&gt;VLOOKUP($B7,MMWR_TRAD_AGG_ST_DISTRICT_COMP[],E$1,0),"ERROR",
VLOOKUP($B7,MMWR_TRAD_AGG_ST_DISTRICT_COMP[],E$1,0))</f>
        <v>79850</v>
      </c>
      <c r="F7" s="103">
        <f>IFERROR(VLOOKUP($B7,MMWR_TRAD_AGG_ST_DISTRICT_COMP[],F$1,0),"ERROR")</f>
        <v>29036</v>
      </c>
      <c r="G7" s="105">
        <f t="shared" si="0"/>
        <v>0.36363180964308078</v>
      </c>
      <c r="H7" s="103">
        <f>IF(SUM(H8:H22)&lt;&gt;VLOOKUP($B7,MMWR_TRAD_AGG_ST_DISTRICT_COMP[],H$1,0),"ERROR",
VLOOKUP($B7,MMWR_TRAD_AGG_ST_DISTRICT_COMP[],H$1,0))</f>
        <v>102971</v>
      </c>
      <c r="I7" s="103">
        <f>IF(SUM(I8:I22)&lt;&gt;VLOOKUP($B7,MMWR_TRAD_AGG_ST_DISTRICT_COMP[],I$1,0),"ERROR",
VLOOKUP($B7,MMWR_TRAD_AGG_ST_DISTRICT_COMP[],I$1,0))</f>
        <v>66208</v>
      </c>
      <c r="J7" s="106">
        <f t="shared" si="1"/>
        <v>0.64297714890600266</v>
      </c>
      <c r="K7" s="103">
        <f>IF(SUM(K8:K22)&lt;&gt;VLOOKUP($B7,MMWR_TRAD_AGG_ST_DISTRICT_COMP[],K$1,0),"ERROR",
VLOOKUP($B7,MMWR_TRAD_AGG_ST_DISTRICT_COMP[],K$1,0))</f>
        <v>15593</v>
      </c>
      <c r="L7" s="103">
        <f>IF(SUM(L8:L22)&lt;&gt;VLOOKUP($B7,MMWR_TRAD_AGG_ST_DISTRICT_COMP[],L$1,0),"ERROR",
VLOOKUP($B7,MMWR_TRAD_AGG_ST_DISTRICT_COMP[],L$1,0))</f>
        <v>12222</v>
      </c>
      <c r="M7" s="106">
        <f t="shared" si="2"/>
        <v>0.78381324953504783</v>
      </c>
      <c r="N7" s="103">
        <f>IF(SUM(N8:N22)&lt;&gt;VLOOKUP($B7,MMWR_TRAD_AGG_ST_DISTRICT_COMP[],N$1,0),"ERROR",
VLOOKUP($B7,MMWR_TRAD_AGG_ST_DISTRICT_COMP[],N$1,0))</f>
        <v>32631</v>
      </c>
      <c r="O7" s="103">
        <f>IF(SUM(O8:O22)&lt;&gt;VLOOKUP($B7,MMWR_TRAD_AGG_ST_DISTRICT_COMP[],O$1,0),"ERROR",
VLOOKUP($B7,MMWR_TRAD_AGG_ST_DISTRICT_COMP[],O$1,0))</f>
        <v>23335</v>
      </c>
      <c r="P7" s="106">
        <f t="shared" si="3"/>
        <v>0.71511752627869207</v>
      </c>
      <c r="Q7" s="103">
        <f>IF(SUM(Q8:Q22)&lt;&gt;VLOOKUP($B7,MMWR_TRAD_AGG_ST_DISTRICT_COMP[],Q$1,0),"ERROR",
VLOOKUP($B7,MMWR_TRAD_AGG_ST_DISTRICT_COMP[],Q$1,0))</f>
        <v>4474</v>
      </c>
      <c r="R7" s="107">
        <f>IFERROR(VLOOKUP($B7,MMWR_TRAD_AGG_ST_DISTRICT_COMP[],R$1,0),"ERROR")</f>
        <v>163</v>
      </c>
      <c r="S7" s="107">
        <f>SUM(S8:S22)</f>
        <v>53610</v>
      </c>
      <c r="T7" s="28"/>
    </row>
    <row r="8" spans="1:20" s="124" customFormat="1" x14ac:dyDescent="0.2">
      <c r="A8" s="108"/>
      <c r="B8" s="128" t="s">
        <v>383</v>
      </c>
      <c r="C8" s="110">
        <f>IFERROR(VLOOKUP($B8,MMWR_TRAD_AGG_STATE_COMP[],C$1,0),"ERROR")</f>
        <v>1641</v>
      </c>
      <c r="D8" s="111">
        <f>IFERROR(VLOOKUP($B8,MMWR_TRAD_AGG_STATE_COMP[],D$1,0),"ERROR")</f>
        <v>284.03290676419999</v>
      </c>
      <c r="E8" s="112">
        <f>IFERROR(VLOOKUP($B8,MMWR_TRAD_AGG_STATE_COMP[],E$1,0),"ERROR")</f>
        <v>2034</v>
      </c>
      <c r="F8" s="113">
        <f>IFERROR(VLOOKUP($B8,MMWR_TRAD_AGG_STATE_COMP[],F$1,0),"ERROR")</f>
        <v>549</v>
      </c>
      <c r="G8" s="114">
        <f t="shared" si="0"/>
        <v>0.26991150442477874</v>
      </c>
      <c r="H8" s="112">
        <f>IFERROR(VLOOKUP($B8,MMWR_TRAD_AGG_STATE_COMP[],H$1,0),"ERROR")</f>
        <v>2990</v>
      </c>
      <c r="I8" s="113">
        <f>IFERROR(VLOOKUP($B8,MMWR_TRAD_AGG_STATE_COMP[],I$1,0),"ERROR")</f>
        <v>1831</v>
      </c>
      <c r="J8" s="115">
        <f t="shared" si="1"/>
        <v>0.61237458193979932</v>
      </c>
      <c r="K8" s="112">
        <f>IFERROR(VLOOKUP($B8,MMWR_TRAD_AGG_STATE_COMP[],K$1,0),"ERROR")</f>
        <v>331</v>
      </c>
      <c r="L8" s="113">
        <f>IFERROR(VLOOKUP($B8,MMWR_TRAD_AGG_STATE_COMP[],L$1,0),"ERROR")</f>
        <v>249</v>
      </c>
      <c r="M8" s="115">
        <f t="shared" si="2"/>
        <v>0.75226586102719029</v>
      </c>
      <c r="N8" s="112">
        <f>IFERROR(VLOOKUP($B8,MMWR_TRAD_AGG_STATE_COMP[],N$1,0),"ERROR")</f>
        <v>694</v>
      </c>
      <c r="O8" s="113">
        <f>IFERROR(VLOOKUP($B8,MMWR_TRAD_AGG_STATE_COMP[],O$1,0),"ERROR")</f>
        <v>476</v>
      </c>
      <c r="P8" s="115">
        <f t="shared" si="3"/>
        <v>0.6858789625360231</v>
      </c>
      <c r="Q8" s="116">
        <f>IFERROR(VLOOKUP($B8,MMWR_TRAD_AGG_STATE_COMP[],Q$1,0),"ERROR")</f>
        <v>154</v>
      </c>
      <c r="R8" s="116">
        <f>IFERROR(VLOOKUP($B8,MMWR_TRAD_AGG_STATE_COMP[],R$1,0),"ERROR")</f>
        <v>3</v>
      </c>
      <c r="S8" s="116">
        <f>IFERROR(VLOOKUP($B8,MMWR_APP_STATE_COMP[],S$1,0),"ERROR")</f>
        <v>1066</v>
      </c>
      <c r="T8" s="28"/>
    </row>
    <row r="9" spans="1:20" s="124" customFormat="1" x14ac:dyDescent="0.2">
      <c r="A9" s="108"/>
      <c r="B9" s="128" t="s">
        <v>433</v>
      </c>
      <c r="C9" s="110">
        <f>IFERROR(VLOOKUP($B9,MMWR_TRAD_AGG_STATE_COMP[],C$1,0),"ERROR")</f>
        <v>853</v>
      </c>
      <c r="D9" s="111">
        <f>IFERROR(VLOOKUP($B9,MMWR_TRAD_AGG_STATE_COMP[],D$1,0),"ERROR")</f>
        <v>440.23446658850003</v>
      </c>
      <c r="E9" s="112">
        <f>IFERROR(VLOOKUP($B9,MMWR_TRAD_AGG_STATE_COMP[],E$1,0),"ERROR")</f>
        <v>1053</v>
      </c>
      <c r="F9" s="113">
        <f>IFERROR(VLOOKUP($B9,MMWR_TRAD_AGG_STATE_COMP[],F$1,0),"ERROR")</f>
        <v>427</v>
      </c>
      <c r="G9" s="114">
        <f t="shared" si="0"/>
        <v>0.40550807217473883</v>
      </c>
      <c r="H9" s="112">
        <f>IFERROR(VLOOKUP($B9,MMWR_TRAD_AGG_STATE_COMP[],H$1,0),"ERROR")</f>
        <v>1071</v>
      </c>
      <c r="I9" s="113">
        <f>IFERROR(VLOOKUP($B9,MMWR_TRAD_AGG_STATE_COMP[],I$1,0),"ERROR")</f>
        <v>735</v>
      </c>
      <c r="J9" s="115">
        <f t="shared" si="1"/>
        <v>0.68627450980392157</v>
      </c>
      <c r="K9" s="112">
        <f>IFERROR(VLOOKUP($B9,MMWR_TRAD_AGG_STATE_COMP[],K$1,0),"ERROR")</f>
        <v>57</v>
      </c>
      <c r="L9" s="113">
        <f>IFERROR(VLOOKUP($B9,MMWR_TRAD_AGG_STATE_COMP[],L$1,0),"ERROR")</f>
        <v>47</v>
      </c>
      <c r="M9" s="115">
        <f t="shared" si="2"/>
        <v>0.82456140350877194</v>
      </c>
      <c r="N9" s="112">
        <f>IFERROR(VLOOKUP($B9,MMWR_TRAD_AGG_STATE_COMP[],N$1,0),"ERROR")</f>
        <v>346</v>
      </c>
      <c r="O9" s="113">
        <f>IFERROR(VLOOKUP($B9,MMWR_TRAD_AGG_STATE_COMP[],O$1,0),"ERROR")</f>
        <v>209</v>
      </c>
      <c r="P9" s="115">
        <f t="shared" si="3"/>
        <v>0.60404624277456642</v>
      </c>
      <c r="Q9" s="116">
        <f>IFERROR(VLOOKUP($B9,MMWR_TRAD_AGG_STATE_COMP[],Q$1,0),"ERROR")</f>
        <v>45</v>
      </c>
      <c r="R9" s="116">
        <f>IFERROR(VLOOKUP($B9,MMWR_TRAD_AGG_STATE_COMP[],R$1,0),"ERROR")</f>
        <v>1</v>
      </c>
      <c r="S9" s="116">
        <f>IFERROR(VLOOKUP($B9,MMWR_APP_STATE_COMP[],S$1,0),"ERROR")</f>
        <v>477</v>
      </c>
      <c r="T9" s="28"/>
    </row>
    <row r="10" spans="1:20" s="124" customFormat="1" x14ac:dyDescent="0.2">
      <c r="A10" s="108"/>
      <c r="B10" s="128" t="s">
        <v>424</v>
      </c>
      <c r="C10" s="110">
        <f>IFERROR(VLOOKUP($B10,MMWR_TRAD_AGG_STATE_COMP[],C$1,0),"ERROR")</f>
        <v>497</v>
      </c>
      <c r="D10" s="111">
        <f>IFERROR(VLOOKUP($B10,MMWR_TRAD_AGG_STATE_COMP[],D$1,0),"ERROR")</f>
        <v>438.0845070423</v>
      </c>
      <c r="E10" s="112">
        <f>IFERROR(VLOOKUP($B10,MMWR_TRAD_AGG_STATE_COMP[],E$1,0),"ERROR")</f>
        <v>587</v>
      </c>
      <c r="F10" s="113">
        <f>IFERROR(VLOOKUP($B10,MMWR_TRAD_AGG_STATE_COMP[],F$1,0),"ERROR")</f>
        <v>228</v>
      </c>
      <c r="G10" s="114">
        <f t="shared" si="0"/>
        <v>0.38841567291311757</v>
      </c>
      <c r="H10" s="112">
        <f>IFERROR(VLOOKUP($B10,MMWR_TRAD_AGG_STATE_COMP[],H$1,0),"ERROR")</f>
        <v>670</v>
      </c>
      <c r="I10" s="113">
        <f>IFERROR(VLOOKUP($B10,MMWR_TRAD_AGG_STATE_COMP[],I$1,0),"ERROR")</f>
        <v>465</v>
      </c>
      <c r="J10" s="115">
        <f t="shared" si="1"/>
        <v>0.69402985074626866</v>
      </c>
      <c r="K10" s="112">
        <f>IFERROR(VLOOKUP($B10,MMWR_TRAD_AGG_STATE_COMP[],K$1,0),"ERROR")</f>
        <v>97</v>
      </c>
      <c r="L10" s="113">
        <f>IFERROR(VLOOKUP($B10,MMWR_TRAD_AGG_STATE_COMP[],L$1,0),"ERROR")</f>
        <v>80</v>
      </c>
      <c r="M10" s="115">
        <f t="shared" si="2"/>
        <v>0.82474226804123707</v>
      </c>
      <c r="N10" s="112">
        <f>IFERROR(VLOOKUP($B10,MMWR_TRAD_AGG_STATE_COMP[],N$1,0),"ERROR")</f>
        <v>328</v>
      </c>
      <c r="O10" s="113">
        <f>IFERROR(VLOOKUP($B10,MMWR_TRAD_AGG_STATE_COMP[],O$1,0),"ERROR")</f>
        <v>250</v>
      </c>
      <c r="P10" s="115">
        <f t="shared" si="3"/>
        <v>0.76219512195121952</v>
      </c>
      <c r="Q10" s="116">
        <f>IFERROR(VLOOKUP($B10,MMWR_TRAD_AGG_STATE_COMP[],Q$1,0),"ERROR")</f>
        <v>17</v>
      </c>
      <c r="R10" s="116">
        <f>IFERROR(VLOOKUP($B10,MMWR_TRAD_AGG_STATE_COMP[],R$1,0),"ERROR")</f>
        <v>1</v>
      </c>
      <c r="S10" s="116">
        <f>IFERROR(VLOOKUP($B10,MMWR_APP_STATE_COMP[],S$1,0),"ERROR")</f>
        <v>520</v>
      </c>
      <c r="T10" s="28"/>
    </row>
    <row r="11" spans="1:20" s="124" customFormat="1" x14ac:dyDescent="0.2">
      <c r="A11" s="108"/>
      <c r="B11" s="128" t="s">
        <v>426</v>
      </c>
      <c r="C11" s="110">
        <f>IFERROR(VLOOKUP($B11,MMWR_TRAD_AGG_STATE_COMP[],C$1,0),"ERROR")</f>
        <v>1265</v>
      </c>
      <c r="D11" s="111">
        <f>IFERROR(VLOOKUP($B11,MMWR_TRAD_AGG_STATE_COMP[],D$1,0),"ERROR")</f>
        <v>296.94782608700001</v>
      </c>
      <c r="E11" s="112">
        <f>IFERROR(VLOOKUP($B11,MMWR_TRAD_AGG_STATE_COMP[],E$1,0),"ERROR")</f>
        <v>1255</v>
      </c>
      <c r="F11" s="113">
        <f>IFERROR(VLOOKUP($B11,MMWR_TRAD_AGG_STATE_COMP[],F$1,0),"ERROR")</f>
        <v>273</v>
      </c>
      <c r="G11" s="114">
        <f t="shared" si="0"/>
        <v>0.21752988047808766</v>
      </c>
      <c r="H11" s="112">
        <f>IFERROR(VLOOKUP($B11,MMWR_TRAD_AGG_STATE_COMP[],H$1,0),"ERROR")</f>
        <v>1723</v>
      </c>
      <c r="I11" s="113">
        <f>IFERROR(VLOOKUP($B11,MMWR_TRAD_AGG_STATE_COMP[],I$1,0),"ERROR")</f>
        <v>1023</v>
      </c>
      <c r="J11" s="115">
        <f t="shared" si="1"/>
        <v>0.59373186302959957</v>
      </c>
      <c r="K11" s="112">
        <f>IFERROR(VLOOKUP($B11,MMWR_TRAD_AGG_STATE_COMP[],K$1,0),"ERROR")</f>
        <v>591</v>
      </c>
      <c r="L11" s="113">
        <f>IFERROR(VLOOKUP($B11,MMWR_TRAD_AGG_STATE_COMP[],L$1,0),"ERROR")</f>
        <v>472</v>
      </c>
      <c r="M11" s="115">
        <f t="shared" si="2"/>
        <v>0.79864636209813877</v>
      </c>
      <c r="N11" s="112">
        <f>IFERROR(VLOOKUP($B11,MMWR_TRAD_AGG_STATE_COMP[],N$1,0),"ERROR")</f>
        <v>300</v>
      </c>
      <c r="O11" s="113">
        <f>IFERROR(VLOOKUP($B11,MMWR_TRAD_AGG_STATE_COMP[],O$1,0),"ERROR")</f>
        <v>163</v>
      </c>
      <c r="P11" s="115">
        <f t="shared" si="3"/>
        <v>0.54333333333333333</v>
      </c>
      <c r="Q11" s="116">
        <f>IFERROR(VLOOKUP($B11,MMWR_TRAD_AGG_STATE_COMP[],Q$1,0),"ERROR")</f>
        <v>193</v>
      </c>
      <c r="R11" s="116">
        <f>IFERROR(VLOOKUP($B11,MMWR_TRAD_AGG_STATE_COMP[],R$1,0),"ERROR")</f>
        <v>2</v>
      </c>
      <c r="S11" s="116">
        <f>IFERROR(VLOOKUP($B11,MMWR_APP_STATE_COMP[],S$1,0),"ERROR")</f>
        <v>439</v>
      </c>
      <c r="T11" s="28"/>
    </row>
    <row r="12" spans="1:20" s="124" customFormat="1" x14ac:dyDescent="0.2">
      <c r="A12" s="108"/>
      <c r="B12" s="128" t="s">
        <v>386</v>
      </c>
      <c r="C12" s="110">
        <f>IFERROR(VLOOKUP($B12,MMWR_TRAD_AGG_STATE_COMP[],C$1,0),"ERROR")</f>
        <v>6992</v>
      </c>
      <c r="D12" s="111">
        <f>IFERROR(VLOOKUP($B12,MMWR_TRAD_AGG_STATE_COMP[],D$1,0),"ERROR")</f>
        <v>500.88744279180003</v>
      </c>
      <c r="E12" s="112">
        <f>IFERROR(VLOOKUP($B12,MMWR_TRAD_AGG_STATE_COMP[],E$1,0),"ERROR")</f>
        <v>6866</v>
      </c>
      <c r="F12" s="113">
        <f>IFERROR(VLOOKUP($B12,MMWR_TRAD_AGG_STATE_COMP[],F$1,0),"ERROR")</f>
        <v>2791</v>
      </c>
      <c r="G12" s="114">
        <f t="shared" si="0"/>
        <v>0.40649577628896011</v>
      </c>
      <c r="H12" s="112">
        <f>IFERROR(VLOOKUP($B12,MMWR_TRAD_AGG_STATE_COMP[],H$1,0),"ERROR")</f>
        <v>9038</v>
      </c>
      <c r="I12" s="113">
        <f>IFERROR(VLOOKUP($B12,MMWR_TRAD_AGG_STATE_COMP[],I$1,0),"ERROR")</f>
        <v>6450</v>
      </c>
      <c r="J12" s="115">
        <f t="shared" si="1"/>
        <v>0.71365346315556544</v>
      </c>
      <c r="K12" s="112">
        <f>IFERROR(VLOOKUP($B12,MMWR_TRAD_AGG_STATE_COMP[],K$1,0),"ERROR")</f>
        <v>1129</v>
      </c>
      <c r="L12" s="113">
        <f>IFERROR(VLOOKUP($B12,MMWR_TRAD_AGG_STATE_COMP[],L$1,0),"ERROR")</f>
        <v>951</v>
      </c>
      <c r="M12" s="115">
        <f t="shared" si="2"/>
        <v>0.84233835252435785</v>
      </c>
      <c r="N12" s="112">
        <f>IFERROR(VLOOKUP($B12,MMWR_TRAD_AGG_STATE_COMP[],N$1,0),"ERROR")</f>
        <v>6386</v>
      </c>
      <c r="O12" s="113">
        <f>IFERROR(VLOOKUP($B12,MMWR_TRAD_AGG_STATE_COMP[],O$1,0),"ERROR")</f>
        <v>5519</v>
      </c>
      <c r="P12" s="115">
        <f t="shared" si="3"/>
        <v>0.86423426244910739</v>
      </c>
      <c r="Q12" s="116">
        <f>IFERROR(VLOOKUP($B12,MMWR_TRAD_AGG_STATE_COMP[],Q$1,0),"ERROR")</f>
        <v>228</v>
      </c>
      <c r="R12" s="116">
        <f>IFERROR(VLOOKUP($B12,MMWR_TRAD_AGG_STATE_COMP[],R$1,0),"ERROR")</f>
        <v>8</v>
      </c>
      <c r="S12" s="116">
        <f>IFERROR(VLOOKUP($B12,MMWR_APP_STATE_COMP[],S$1,0),"ERROR")</f>
        <v>5218</v>
      </c>
      <c r="T12" s="28"/>
    </row>
    <row r="13" spans="1:20" s="124" customFormat="1" x14ac:dyDescent="0.2">
      <c r="A13" s="108"/>
      <c r="B13" s="128" t="s">
        <v>381</v>
      </c>
      <c r="C13" s="110">
        <f>IFERROR(VLOOKUP($B13,MMWR_TRAD_AGG_STATE_COMP[],C$1,0),"ERROR")</f>
        <v>5843</v>
      </c>
      <c r="D13" s="111">
        <f>IFERROR(VLOOKUP($B13,MMWR_TRAD_AGG_STATE_COMP[],D$1,0),"ERROR")</f>
        <v>423.16515488620001</v>
      </c>
      <c r="E13" s="112">
        <f>IFERROR(VLOOKUP($B13,MMWR_TRAD_AGG_STATE_COMP[],E$1,0),"ERROR")</f>
        <v>4700</v>
      </c>
      <c r="F13" s="113">
        <f>IFERROR(VLOOKUP($B13,MMWR_TRAD_AGG_STATE_COMP[],F$1,0),"ERROR")</f>
        <v>1591</v>
      </c>
      <c r="G13" s="114">
        <f t="shared" si="0"/>
        <v>0.33851063829787231</v>
      </c>
      <c r="H13" s="112">
        <f>IFERROR(VLOOKUP($B13,MMWR_TRAD_AGG_STATE_COMP[],H$1,0),"ERROR")</f>
        <v>8105</v>
      </c>
      <c r="I13" s="113">
        <f>IFERROR(VLOOKUP($B13,MMWR_TRAD_AGG_STATE_COMP[],I$1,0),"ERROR")</f>
        <v>5237</v>
      </c>
      <c r="J13" s="115">
        <f t="shared" si="1"/>
        <v>0.64614435533621217</v>
      </c>
      <c r="K13" s="112">
        <f>IFERROR(VLOOKUP($B13,MMWR_TRAD_AGG_STATE_COMP[],K$1,0),"ERROR")</f>
        <v>2204</v>
      </c>
      <c r="L13" s="113">
        <f>IFERROR(VLOOKUP($B13,MMWR_TRAD_AGG_STATE_COMP[],L$1,0),"ERROR")</f>
        <v>1832</v>
      </c>
      <c r="M13" s="115">
        <f t="shared" si="2"/>
        <v>0.83121597096188748</v>
      </c>
      <c r="N13" s="112">
        <f>IFERROR(VLOOKUP($B13,MMWR_TRAD_AGG_STATE_COMP[],N$1,0),"ERROR")</f>
        <v>1264</v>
      </c>
      <c r="O13" s="113">
        <f>IFERROR(VLOOKUP($B13,MMWR_TRAD_AGG_STATE_COMP[],O$1,0),"ERROR")</f>
        <v>1011</v>
      </c>
      <c r="P13" s="115">
        <f t="shared" si="3"/>
        <v>0.79984177215189878</v>
      </c>
      <c r="Q13" s="116">
        <f>IFERROR(VLOOKUP($B13,MMWR_TRAD_AGG_STATE_COMP[],Q$1,0),"ERROR")</f>
        <v>401</v>
      </c>
      <c r="R13" s="116">
        <f>IFERROR(VLOOKUP($B13,MMWR_TRAD_AGG_STATE_COMP[],R$1,0),"ERROR")</f>
        <v>11</v>
      </c>
      <c r="S13" s="116">
        <f>IFERROR(VLOOKUP($B13,MMWR_APP_STATE_COMP[],S$1,0),"ERROR")</f>
        <v>3583</v>
      </c>
      <c r="T13" s="28"/>
    </row>
    <row r="14" spans="1:20" s="124" customFormat="1" x14ac:dyDescent="0.2">
      <c r="A14" s="108"/>
      <c r="B14" s="128" t="s">
        <v>425</v>
      </c>
      <c r="C14" s="110">
        <f>IFERROR(VLOOKUP($B14,MMWR_TRAD_AGG_STATE_COMP[],C$1,0),"ERROR")</f>
        <v>2241</v>
      </c>
      <c r="D14" s="111">
        <f>IFERROR(VLOOKUP($B14,MMWR_TRAD_AGG_STATE_COMP[],D$1,0),"ERROR")</f>
        <v>351.6796073182</v>
      </c>
      <c r="E14" s="112">
        <f>IFERROR(VLOOKUP($B14,MMWR_TRAD_AGG_STATE_COMP[],E$1,0),"ERROR")</f>
        <v>1242</v>
      </c>
      <c r="F14" s="113">
        <f>IFERROR(VLOOKUP($B14,MMWR_TRAD_AGG_STATE_COMP[],F$1,0),"ERROR")</f>
        <v>355</v>
      </c>
      <c r="G14" s="114">
        <f t="shared" si="0"/>
        <v>0.285829307568438</v>
      </c>
      <c r="H14" s="112">
        <f>IFERROR(VLOOKUP($B14,MMWR_TRAD_AGG_STATE_COMP[],H$1,0),"ERROR")</f>
        <v>2712</v>
      </c>
      <c r="I14" s="113">
        <f>IFERROR(VLOOKUP($B14,MMWR_TRAD_AGG_STATE_COMP[],I$1,0),"ERROR")</f>
        <v>1787</v>
      </c>
      <c r="J14" s="115">
        <f t="shared" si="1"/>
        <v>0.65892330383480824</v>
      </c>
      <c r="K14" s="112">
        <f>IFERROR(VLOOKUP($B14,MMWR_TRAD_AGG_STATE_COMP[],K$1,0),"ERROR")</f>
        <v>659</v>
      </c>
      <c r="L14" s="113">
        <f>IFERROR(VLOOKUP($B14,MMWR_TRAD_AGG_STATE_COMP[],L$1,0),"ERROR")</f>
        <v>619</v>
      </c>
      <c r="M14" s="115">
        <f t="shared" si="2"/>
        <v>0.93930197268588767</v>
      </c>
      <c r="N14" s="112">
        <f>IFERROR(VLOOKUP($B14,MMWR_TRAD_AGG_STATE_COMP[],N$1,0),"ERROR")</f>
        <v>150</v>
      </c>
      <c r="O14" s="113">
        <f>IFERROR(VLOOKUP($B14,MMWR_TRAD_AGG_STATE_COMP[],O$1,0),"ERROR")</f>
        <v>88</v>
      </c>
      <c r="P14" s="115">
        <f t="shared" si="3"/>
        <v>0.58666666666666667</v>
      </c>
      <c r="Q14" s="116">
        <f>IFERROR(VLOOKUP($B14,MMWR_TRAD_AGG_STATE_COMP[],Q$1,0),"ERROR")</f>
        <v>83</v>
      </c>
      <c r="R14" s="116">
        <f>IFERROR(VLOOKUP($B14,MMWR_TRAD_AGG_STATE_COMP[],R$1,0),"ERROR")</f>
        <v>3</v>
      </c>
      <c r="S14" s="116">
        <f>IFERROR(VLOOKUP($B14,MMWR_APP_STATE_COMP[],S$1,0),"ERROR")</f>
        <v>773</v>
      </c>
      <c r="T14" s="28"/>
    </row>
    <row r="15" spans="1:20" s="124" customFormat="1" x14ac:dyDescent="0.2">
      <c r="A15" s="108"/>
      <c r="B15" s="128" t="s">
        <v>384</v>
      </c>
      <c r="C15" s="110">
        <f>IFERROR(VLOOKUP($B15,MMWR_TRAD_AGG_STATE_COMP[],C$1,0),"ERROR")</f>
        <v>2400</v>
      </c>
      <c r="D15" s="111">
        <f>IFERROR(VLOOKUP($B15,MMWR_TRAD_AGG_STATE_COMP[],D$1,0),"ERROR")</f>
        <v>314.64249999999998</v>
      </c>
      <c r="E15" s="112">
        <f>IFERROR(VLOOKUP($B15,MMWR_TRAD_AGG_STATE_COMP[],E$1,0),"ERROR")</f>
        <v>4561</v>
      </c>
      <c r="F15" s="113">
        <f>IFERROR(VLOOKUP($B15,MMWR_TRAD_AGG_STATE_COMP[],F$1,0),"ERROR")</f>
        <v>1801</v>
      </c>
      <c r="G15" s="114">
        <f t="shared" si="0"/>
        <v>0.39486954615215963</v>
      </c>
      <c r="H15" s="112">
        <f>IFERROR(VLOOKUP($B15,MMWR_TRAD_AGG_STATE_COMP[],H$1,0),"ERROR")</f>
        <v>3693</v>
      </c>
      <c r="I15" s="113">
        <f>IFERROR(VLOOKUP($B15,MMWR_TRAD_AGG_STATE_COMP[],I$1,0),"ERROR")</f>
        <v>2049</v>
      </c>
      <c r="J15" s="115">
        <f t="shared" si="1"/>
        <v>0.55483346872461414</v>
      </c>
      <c r="K15" s="112">
        <f>IFERROR(VLOOKUP($B15,MMWR_TRAD_AGG_STATE_COMP[],K$1,0),"ERROR")</f>
        <v>308</v>
      </c>
      <c r="L15" s="113">
        <f>IFERROR(VLOOKUP($B15,MMWR_TRAD_AGG_STATE_COMP[],L$1,0),"ERROR")</f>
        <v>209</v>
      </c>
      <c r="M15" s="115">
        <f t="shared" si="2"/>
        <v>0.6785714285714286</v>
      </c>
      <c r="N15" s="112">
        <f>IFERROR(VLOOKUP($B15,MMWR_TRAD_AGG_STATE_COMP[],N$1,0),"ERROR")</f>
        <v>1840</v>
      </c>
      <c r="O15" s="113">
        <f>IFERROR(VLOOKUP($B15,MMWR_TRAD_AGG_STATE_COMP[],O$1,0),"ERROR")</f>
        <v>1229</v>
      </c>
      <c r="P15" s="115">
        <f t="shared" si="3"/>
        <v>0.66793478260869565</v>
      </c>
      <c r="Q15" s="116">
        <f>IFERROR(VLOOKUP($B15,MMWR_TRAD_AGG_STATE_COMP[],Q$1,0),"ERROR")</f>
        <v>407</v>
      </c>
      <c r="R15" s="116">
        <f>IFERROR(VLOOKUP($B15,MMWR_TRAD_AGG_STATE_COMP[],R$1,0),"ERROR")</f>
        <v>7</v>
      </c>
      <c r="S15" s="116">
        <f>IFERROR(VLOOKUP($B15,MMWR_APP_STATE_COMP[],S$1,0),"ERROR")</f>
        <v>4033</v>
      </c>
      <c r="T15" s="28"/>
    </row>
    <row r="16" spans="1:20" s="124" customFormat="1" x14ac:dyDescent="0.2">
      <c r="A16" s="108"/>
      <c r="B16" s="128" t="s">
        <v>63</v>
      </c>
      <c r="C16" s="110">
        <f>IFERROR(VLOOKUP($B16,MMWR_TRAD_AGG_STATE_COMP[],C$1,0),"ERROR")</f>
        <v>5714</v>
      </c>
      <c r="D16" s="111">
        <f>IFERROR(VLOOKUP($B16,MMWR_TRAD_AGG_STATE_COMP[],D$1,0),"ERROR")</f>
        <v>255.63423171159999</v>
      </c>
      <c r="E16" s="112">
        <f>IFERROR(VLOOKUP($B16,MMWR_TRAD_AGG_STATE_COMP[],E$1,0),"ERROR")</f>
        <v>10247</v>
      </c>
      <c r="F16" s="113">
        <f>IFERROR(VLOOKUP($B16,MMWR_TRAD_AGG_STATE_COMP[],F$1,0),"ERROR")</f>
        <v>4049</v>
      </c>
      <c r="G16" s="114">
        <f t="shared" si="0"/>
        <v>0.39514004098760613</v>
      </c>
      <c r="H16" s="112">
        <f>IFERROR(VLOOKUP($B16,MMWR_TRAD_AGG_STATE_COMP[],H$1,0),"ERROR")</f>
        <v>8990</v>
      </c>
      <c r="I16" s="113">
        <f>IFERROR(VLOOKUP($B16,MMWR_TRAD_AGG_STATE_COMP[],I$1,0),"ERROR")</f>
        <v>4557</v>
      </c>
      <c r="J16" s="115">
        <f t="shared" si="1"/>
        <v>0.50689655172413794</v>
      </c>
      <c r="K16" s="112">
        <f>IFERROR(VLOOKUP($B16,MMWR_TRAD_AGG_STATE_COMP[],K$1,0),"ERROR")</f>
        <v>1399</v>
      </c>
      <c r="L16" s="113">
        <f>IFERROR(VLOOKUP($B16,MMWR_TRAD_AGG_STATE_COMP[],L$1,0),"ERROR")</f>
        <v>916</v>
      </c>
      <c r="M16" s="115">
        <f t="shared" si="2"/>
        <v>0.65475339528234455</v>
      </c>
      <c r="N16" s="112">
        <f>IFERROR(VLOOKUP($B16,MMWR_TRAD_AGG_STATE_COMP[],N$1,0),"ERROR")</f>
        <v>1431</v>
      </c>
      <c r="O16" s="113">
        <f>IFERROR(VLOOKUP($B16,MMWR_TRAD_AGG_STATE_COMP[],O$1,0),"ERROR")</f>
        <v>835</v>
      </c>
      <c r="P16" s="115">
        <f t="shared" si="3"/>
        <v>0.58350803633822501</v>
      </c>
      <c r="Q16" s="116">
        <f>IFERROR(VLOOKUP($B16,MMWR_TRAD_AGG_STATE_COMP[],Q$1,0),"ERROR")</f>
        <v>796</v>
      </c>
      <c r="R16" s="116">
        <f>IFERROR(VLOOKUP($B16,MMWR_TRAD_AGG_STATE_COMP[],R$1,0),"ERROR")</f>
        <v>16</v>
      </c>
      <c r="S16" s="116">
        <f>IFERROR(VLOOKUP($B16,MMWR_APP_STATE_COMP[],S$1,0),"ERROR")</f>
        <v>5396</v>
      </c>
      <c r="T16" s="28"/>
    </row>
    <row r="17" spans="1:20" s="124" customFormat="1" x14ac:dyDescent="0.2">
      <c r="A17" s="108"/>
      <c r="B17" s="128" t="s">
        <v>392</v>
      </c>
      <c r="C17" s="110">
        <f>IFERROR(VLOOKUP($B17,MMWR_TRAD_AGG_STATE_COMP[],C$1,0),"ERROR")</f>
        <v>16673</v>
      </c>
      <c r="D17" s="111">
        <f>IFERROR(VLOOKUP($B17,MMWR_TRAD_AGG_STATE_COMP[],D$1,0),"ERROR")</f>
        <v>345.98884423919998</v>
      </c>
      <c r="E17" s="112">
        <f>IFERROR(VLOOKUP($B17,MMWR_TRAD_AGG_STATE_COMP[],E$1,0),"ERROR")</f>
        <v>19880</v>
      </c>
      <c r="F17" s="113">
        <f>IFERROR(VLOOKUP($B17,MMWR_TRAD_AGG_STATE_COMP[],F$1,0),"ERROR")</f>
        <v>7453</v>
      </c>
      <c r="G17" s="114">
        <f t="shared" si="0"/>
        <v>0.37489939637826963</v>
      </c>
      <c r="H17" s="112">
        <f>IFERROR(VLOOKUP($B17,MMWR_TRAD_AGG_STATE_COMP[],H$1,0),"ERROR")</f>
        <v>22288</v>
      </c>
      <c r="I17" s="113">
        <f>IFERROR(VLOOKUP($B17,MMWR_TRAD_AGG_STATE_COMP[],I$1,0),"ERROR")</f>
        <v>14300</v>
      </c>
      <c r="J17" s="115">
        <f t="shared" si="1"/>
        <v>0.64160086145010764</v>
      </c>
      <c r="K17" s="112">
        <f>IFERROR(VLOOKUP($B17,MMWR_TRAD_AGG_STATE_COMP[],K$1,0),"ERROR")</f>
        <v>4192</v>
      </c>
      <c r="L17" s="113">
        <f>IFERROR(VLOOKUP($B17,MMWR_TRAD_AGG_STATE_COMP[],L$1,0),"ERROR")</f>
        <v>3360</v>
      </c>
      <c r="M17" s="115">
        <f t="shared" si="2"/>
        <v>0.80152671755725191</v>
      </c>
      <c r="N17" s="112">
        <f>IFERROR(VLOOKUP($B17,MMWR_TRAD_AGG_STATE_COMP[],N$1,0),"ERROR")</f>
        <v>7203</v>
      </c>
      <c r="O17" s="113">
        <f>IFERROR(VLOOKUP($B17,MMWR_TRAD_AGG_STATE_COMP[],O$1,0),"ERROR")</f>
        <v>4482</v>
      </c>
      <c r="P17" s="115">
        <f t="shared" si="3"/>
        <v>0.62224073302790506</v>
      </c>
      <c r="Q17" s="116">
        <f>IFERROR(VLOOKUP($B17,MMWR_TRAD_AGG_STATE_COMP[],Q$1,0),"ERROR")</f>
        <v>594</v>
      </c>
      <c r="R17" s="116">
        <f>IFERROR(VLOOKUP($B17,MMWR_TRAD_AGG_STATE_COMP[],R$1,0),"ERROR")</f>
        <v>38</v>
      </c>
      <c r="S17" s="116">
        <f>IFERROR(VLOOKUP($B17,MMWR_APP_STATE_COMP[],S$1,0),"ERROR")</f>
        <v>9904</v>
      </c>
      <c r="T17" s="28"/>
    </row>
    <row r="18" spans="1:20" s="124" customFormat="1" x14ac:dyDescent="0.2">
      <c r="A18" s="108"/>
      <c r="B18" s="128" t="s">
        <v>385</v>
      </c>
      <c r="C18" s="110">
        <f>IFERROR(VLOOKUP($B18,MMWR_TRAD_AGG_STATE_COMP[],C$1,0),"ERROR")</f>
        <v>8519</v>
      </c>
      <c r="D18" s="111">
        <f>IFERROR(VLOOKUP($B18,MMWR_TRAD_AGG_STATE_COMP[],D$1,0),"ERROR")</f>
        <v>389.10728958800001</v>
      </c>
      <c r="E18" s="112">
        <f>IFERROR(VLOOKUP($B18,MMWR_TRAD_AGG_STATE_COMP[],E$1,0),"ERROR")</f>
        <v>10111</v>
      </c>
      <c r="F18" s="113">
        <f>IFERROR(VLOOKUP($B18,MMWR_TRAD_AGG_STATE_COMP[],F$1,0),"ERROR")</f>
        <v>3745</v>
      </c>
      <c r="G18" s="114">
        <f t="shared" si="0"/>
        <v>0.37038868558995153</v>
      </c>
      <c r="H18" s="112">
        <f>IFERROR(VLOOKUP($B18,MMWR_TRAD_AGG_STATE_COMP[],H$1,0),"ERROR")</f>
        <v>12187</v>
      </c>
      <c r="I18" s="113">
        <f>IFERROR(VLOOKUP($B18,MMWR_TRAD_AGG_STATE_COMP[],I$1,0),"ERROR")</f>
        <v>7844</v>
      </c>
      <c r="J18" s="115">
        <f t="shared" si="1"/>
        <v>0.64363666201690328</v>
      </c>
      <c r="K18" s="112">
        <f>IFERROR(VLOOKUP($B18,MMWR_TRAD_AGG_STATE_COMP[],K$1,0),"ERROR")</f>
        <v>871</v>
      </c>
      <c r="L18" s="113">
        <f>IFERROR(VLOOKUP($B18,MMWR_TRAD_AGG_STATE_COMP[],L$1,0),"ERROR")</f>
        <v>614</v>
      </c>
      <c r="M18" s="115">
        <f t="shared" si="2"/>
        <v>0.70493685419058549</v>
      </c>
      <c r="N18" s="112">
        <f>IFERROR(VLOOKUP($B18,MMWR_TRAD_AGG_STATE_COMP[],N$1,0),"ERROR")</f>
        <v>5820</v>
      </c>
      <c r="O18" s="113">
        <f>IFERROR(VLOOKUP($B18,MMWR_TRAD_AGG_STATE_COMP[],O$1,0),"ERROR")</f>
        <v>3723</v>
      </c>
      <c r="P18" s="115">
        <f t="shared" si="3"/>
        <v>0.63969072164948448</v>
      </c>
      <c r="Q18" s="116">
        <f>IFERROR(VLOOKUP($B18,MMWR_TRAD_AGG_STATE_COMP[],Q$1,0),"ERROR")</f>
        <v>726</v>
      </c>
      <c r="R18" s="116">
        <f>IFERROR(VLOOKUP($B18,MMWR_TRAD_AGG_STATE_COMP[],R$1,0),"ERROR")</f>
        <v>12</v>
      </c>
      <c r="S18" s="116">
        <f>IFERROR(VLOOKUP($B18,MMWR_APP_STATE_COMP[],S$1,0),"ERROR")</f>
        <v>6266</v>
      </c>
      <c r="T18" s="28"/>
    </row>
    <row r="19" spans="1:20" s="124" customFormat="1" x14ac:dyDescent="0.2">
      <c r="A19" s="108"/>
      <c r="B19" s="128" t="s">
        <v>382</v>
      </c>
      <c r="C19" s="110">
        <f>IFERROR(VLOOKUP($B19,MMWR_TRAD_AGG_STATE_COMP[],C$1,0),"ERROR")</f>
        <v>446</v>
      </c>
      <c r="D19" s="111">
        <f>IFERROR(VLOOKUP($B19,MMWR_TRAD_AGG_STATE_COMP[],D$1,0),"ERROR")</f>
        <v>228.7152466368</v>
      </c>
      <c r="E19" s="112">
        <f>IFERROR(VLOOKUP($B19,MMWR_TRAD_AGG_STATE_COMP[],E$1,0),"ERROR")</f>
        <v>830</v>
      </c>
      <c r="F19" s="113">
        <f>IFERROR(VLOOKUP($B19,MMWR_TRAD_AGG_STATE_COMP[],F$1,0),"ERROR")</f>
        <v>224</v>
      </c>
      <c r="G19" s="114">
        <f t="shared" si="0"/>
        <v>0.26987951807228916</v>
      </c>
      <c r="H19" s="112">
        <f>IFERROR(VLOOKUP($B19,MMWR_TRAD_AGG_STATE_COMP[],H$1,0),"ERROR")</f>
        <v>1180</v>
      </c>
      <c r="I19" s="113">
        <f>IFERROR(VLOOKUP($B19,MMWR_TRAD_AGG_STATE_COMP[],I$1,0),"ERROR")</f>
        <v>467</v>
      </c>
      <c r="J19" s="115">
        <f t="shared" si="1"/>
        <v>0.39576271186440676</v>
      </c>
      <c r="K19" s="112">
        <f>IFERROR(VLOOKUP($B19,MMWR_TRAD_AGG_STATE_COMP[],K$1,0),"ERROR")</f>
        <v>368</v>
      </c>
      <c r="L19" s="113">
        <f>IFERROR(VLOOKUP($B19,MMWR_TRAD_AGG_STATE_COMP[],L$1,0),"ERROR")</f>
        <v>148</v>
      </c>
      <c r="M19" s="115">
        <f t="shared" si="2"/>
        <v>0.40217391304347827</v>
      </c>
      <c r="N19" s="112">
        <f>IFERROR(VLOOKUP($B19,MMWR_TRAD_AGG_STATE_COMP[],N$1,0),"ERROR")</f>
        <v>81</v>
      </c>
      <c r="O19" s="113">
        <f>IFERROR(VLOOKUP($B19,MMWR_TRAD_AGG_STATE_COMP[],O$1,0),"ERROR")</f>
        <v>51</v>
      </c>
      <c r="P19" s="115">
        <f t="shared" si="3"/>
        <v>0.62962962962962965</v>
      </c>
      <c r="Q19" s="116">
        <f>IFERROR(VLOOKUP($B19,MMWR_TRAD_AGG_STATE_COMP[],Q$1,0),"ERROR")</f>
        <v>84</v>
      </c>
      <c r="R19" s="116">
        <f>IFERROR(VLOOKUP($B19,MMWR_TRAD_AGG_STATE_COMP[],R$1,0),"ERROR")</f>
        <v>3</v>
      </c>
      <c r="S19" s="116">
        <f>IFERROR(VLOOKUP($B19,MMWR_APP_STATE_COMP[],S$1,0),"ERROR")</f>
        <v>319</v>
      </c>
      <c r="T19" s="28"/>
    </row>
    <row r="20" spans="1:20" s="124" customFormat="1" x14ac:dyDescent="0.2">
      <c r="A20" s="108"/>
      <c r="B20" s="128" t="s">
        <v>427</v>
      </c>
      <c r="C20" s="110">
        <f>IFERROR(VLOOKUP($B20,MMWR_TRAD_AGG_STATE_COMP[],C$1,0),"ERROR")</f>
        <v>566</v>
      </c>
      <c r="D20" s="111">
        <f>IFERROR(VLOOKUP($B20,MMWR_TRAD_AGG_STATE_COMP[],D$1,0),"ERROR")</f>
        <v>378.21908127210003</v>
      </c>
      <c r="E20" s="112">
        <f>IFERROR(VLOOKUP($B20,MMWR_TRAD_AGG_STATE_COMP[],E$1,0),"ERROR")</f>
        <v>425</v>
      </c>
      <c r="F20" s="113">
        <f>IFERROR(VLOOKUP($B20,MMWR_TRAD_AGG_STATE_COMP[],F$1,0),"ERROR")</f>
        <v>126</v>
      </c>
      <c r="G20" s="114">
        <f t="shared" si="0"/>
        <v>0.2964705882352941</v>
      </c>
      <c r="H20" s="112">
        <f>IFERROR(VLOOKUP($B20,MMWR_TRAD_AGG_STATE_COMP[],H$1,0),"ERROR")</f>
        <v>851</v>
      </c>
      <c r="I20" s="113">
        <f>IFERROR(VLOOKUP($B20,MMWR_TRAD_AGG_STATE_COMP[],I$1,0),"ERROR")</f>
        <v>507</v>
      </c>
      <c r="J20" s="115">
        <f t="shared" si="1"/>
        <v>0.59576968272620445</v>
      </c>
      <c r="K20" s="112">
        <f>IFERROR(VLOOKUP($B20,MMWR_TRAD_AGG_STATE_COMP[],K$1,0),"ERROR")</f>
        <v>105</v>
      </c>
      <c r="L20" s="113">
        <f>IFERROR(VLOOKUP($B20,MMWR_TRAD_AGG_STATE_COMP[],L$1,0),"ERROR")</f>
        <v>93</v>
      </c>
      <c r="M20" s="115">
        <f t="shared" si="2"/>
        <v>0.88571428571428568</v>
      </c>
      <c r="N20" s="112">
        <f>IFERROR(VLOOKUP($B20,MMWR_TRAD_AGG_STATE_COMP[],N$1,0),"ERROR")</f>
        <v>94</v>
      </c>
      <c r="O20" s="113">
        <f>IFERROR(VLOOKUP($B20,MMWR_TRAD_AGG_STATE_COMP[],O$1,0),"ERROR")</f>
        <v>71</v>
      </c>
      <c r="P20" s="115">
        <f t="shared" si="3"/>
        <v>0.75531914893617025</v>
      </c>
      <c r="Q20" s="116">
        <f>IFERROR(VLOOKUP($B20,MMWR_TRAD_AGG_STATE_COMP[],Q$1,0),"ERROR")</f>
        <v>28</v>
      </c>
      <c r="R20" s="116">
        <f>IFERROR(VLOOKUP($B20,MMWR_TRAD_AGG_STATE_COMP[],R$1,0),"ERROR")</f>
        <v>1</v>
      </c>
      <c r="S20" s="116">
        <f>IFERROR(VLOOKUP($B20,MMWR_APP_STATE_COMP[],S$1,0),"ERROR")</f>
        <v>173</v>
      </c>
      <c r="T20" s="28"/>
    </row>
    <row r="21" spans="1:20" s="124" customFormat="1" x14ac:dyDescent="0.2">
      <c r="A21" s="108"/>
      <c r="B21" s="128" t="s">
        <v>388</v>
      </c>
      <c r="C21" s="110">
        <f>IFERROR(VLOOKUP($B21,MMWR_TRAD_AGG_STATE_COMP[],C$1,0),"ERROR")</f>
        <v>19591</v>
      </c>
      <c r="D21" s="111">
        <f>IFERROR(VLOOKUP($B21,MMWR_TRAD_AGG_STATE_COMP[],D$1,0),"ERROR")</f>
        <v>395.13628707060002</v>
      </c>
      <c r="E21" s="112">
        <f>IFERROR(VLOOKUP($B21,MMWR_TRAD_AGG_STATE_COMP[],E$1,0),"ERROR")</f>
        <v>13201</v>
      </c>
      <c r="F21" s="113">
        <f>IFERROR(VLOOKUP($B21,MMWR_TRAD_AGG_STATE_COMP[],F$1,0),"ERROR")</f>
        <v>4598</v>
      </c>
      <c r="G21" s="114">
        <f t="shared" si="0"/>
        <v>0.34830694644345123</v>
      </c>
      <c r="H21" s="112">
        <f>IFERROR(VLOOKUP($B21,MMWR_TRAD_AGG_STATE_COMP[],H$1,0),"ERROR")</f>
        <v>23987</v>
      </c>
      <c r="I21" s="113">
        <f>IFERROR(VLOOKUP($B21,MMWR_TRAD_AGG_STATE_COMP[],I$1,0),"ERROR")</f>
        <v>17016</v>
      </c>
      <c r="J21" s="115">
        <f t="shared" si="1"/>
        <v>0.70938424980197612</v>
      </c>
      <c r="K21" s="112">
        <f>IFERROR(VLOOKUP($B21,MMWR_TRAD_AGG_STATE_COMP[],K$1,0),"ERROR")</f>
        <v>2981</v>
      </c>
      <c r="L21" s="113">
        <f>IFERROR(VLOOKUP($B21,MMWR_TRAD_AGG_STATE_COMP[],L$1,0),"ERROR")</f>
        <v>2370</v>
      </c>
      <c r="M21" s="115">
        <f t="shared" si="2"/>
        <v>0.79503522307950347</v>
      </c>
      <c r="N21" s="112">
        <f>IFERROR(VLOOKUP($B21,MMWR_TRAD_AGG_STATE_COMP[],N$1,0),"ERROR")</f>
        <v>5618</v>
      </c>
      <c r="O21" s="113">
        <f>IFERROR(VLOOKUP($B21,MMWR_TRAD_AGG_STATE_COMP[],O$1,0),"ERROR")</f>
        <v>4455</v>
      </c>
      <c r="P21" s="115">
        <f t="shared" si="3"/>
        <v>0.79298682805268783</v>
      </c>
      <c r="Q21" s="116">
        <f>IFERROR(VLOOKUP($B21,MMWR_TRAD_AGG_STATE_COMP[],Q$1,0),"ERROR")</f>
        <v>518</v>
      </c>
      <c r="R21" s="116">
        <f>IFERROR(VLOOKUP($B21,MMWR_TRAD_AGG_STATE_COMP[],R$1,0),"ERROR")</f>
        <v>38</v>
      </c>
      <c r="S21" s="116">
        <f>IFERROR(VLOOKUP($B21,MMWR_APP_STATE_COMP[],S$1,0),"ERROR")</f>
        <v>13169</v>
      </c>
      <c r="T21" s="28"/>
    </row>
    <row r="22" spans="1:20" s="124" customFormat="1" x14ac:dyDescent="0.2">
      <c r="A22" s="108"/>
      <c r="B22" s="128" t="s">
        <v>389</v>
      </c>
      <c r="C22" s="110">
        <f>IFERROR(VLOOKUP($B22,MMWR_TRAD_AGG_STATE_COMP[],C$1,0),"ERROR")</f>
        <v>2374</v>
      </c>
      <c r="D22" s="111">
        <f>IFERROR(VLOOKUP($B22,MMWR_TRAD_AGG_STATE_COMP[],D$1,0),"ERROR")</f>
        <v>243.0126368997</v>
      </c>
      <c r="E22" s="112">
        <f>IFERROR(VLOOKUP($B22,MMWR_TRAD_AGG_STATE_COMP[],E$1,0),"ERROR")</f>
        <v>2858</v>
      </c>
      <c r="F22" s="113">
        <f>IFERROR(VLOOKUP($B22,MMWR_TRAD_AGG_STATE_COMP[],F$1,0),"ERROR")</f>
        <v>826</v>
      </c>
      <c r="G22" s="114">
        <f t="shared" si="0"/>
        <v>0.28901329601119663</v>
      </c>
      <c r="H22" s="112">
        <f>IFERROR(VLOOKUP($B22,MMWR_TRAD_AGG_STATE_COMP[],H$1,0),"ERROR")</f>
        <v>3486</v>
      </c>
      <c r="I22" s="113">
        <f>IFERROR(VLOOKUP($B22,MMWR_TRAD_AGG_STATE_COMP[],I$1,0),"ERROR")</f>
        <v>1940</v>
      </c>
      <c r="J22" s="115">
        <f t="shared" si="1"/>
        <v>0.55651176133103841</v>
      </c>
      <c r="K22" s="112">
        <f>IFERROR(VLOOKUP($B22,MMWR_TRAD_AGG_STATE_COMP[],K$1,0),"ERROR")</f>
        <v>301</v>
      </c>
      <c r="L22" s="113">
        <f>IFERROR(VLOOKUP($B22,MMWR_TRAD_AGG_STATE_COMP[],L$1,0),"ERROR")</f>
        <v>262</v>
      </c>
      <c r="M22" s="115">
        <f t="shared" si="2"/>
        <v>0.87043189368770768</v>
      </c>
      <c r="N22" s="112">
        <f>IFERROR(VLOOKUP($B22,MMWR_TRAD_AGG_STATE_COMP[],N$1,0),"ERROR")</f>
        <v>1076</v>
      </c>
      <c r="O22" s="113">
        <f>IFERROR(VLOOKUP($B22,MMWR_TRAD_AGG_STATE_COMP[],O$1,0),"ERROR")</f>
        <v>773</v>
      </c>
      <c r="P22" s="115">
        <f t="shared" si="3"/>
        <v>0.71840148698884754</v>
      </c>
      <c r="Q22" s="116">
        <f>IFERROR(VLOOKUP($B22,MMWR_TRAD_AGG_STATE_COMP[],Q$1,0),"ERROR")</f>
        <v>200</v>
      </c>
      <c r="R22" s="116">
        <f>IFERROR(VLOOKUP($B22,MMWR_TRAD_AGG_STATE_COMP[],R$1,0),"ERROR")</f>
        <v>19</v>
      </c>
      <c r="S22" s="116">
        <f>IFERROR(VLOOKUP($B22,MMWR_APP_STATE_COMP[],S$1,0),"ERROR")</f>
        <v>2274</v>
      </c>
      <c r="T22" s="28"/>
    </row>
    <row r="23" spans="1:20" s="124" customFormat="1" x14ac:dyDescent="0.2">
      <c r="A23" s="108"/>
      <c r="B23" s="127" t="s">
        <v>400</v>
      </c>
      <c r="C23" s="103">
        <f>IF(SUM(C24:C35)&lt;&gt;VLOOKUP($B23,MMWR_TRAD_AGG_ST_DISTRICT_COMP[],C$1,0),"ERROR",
VLOOKUP($B23,MMWR_TRAD_AGG_ST_DISTRICT_COMP[],C$1,0))</f>
        <v>50397</v>
      </c>
      <c r="D23" s="104">
        <f>IFERROR(VLOOKUP($B23,MMWR_TRAD_AGG_ST_DISTRICT_COMP[],D$1,0),"ERROR")</f>
        <v>355.42587852449998</v>
      </c>
      <c r="E23" s="103">
        <f>IF(SUM(E24:E35)&lt;&gt;VLOOKUP($B23,MMWR_TRAD_AGG_ST_DISTRICT_COMP[],E$1,0),"ERROR",
VLOOKUP($B23,MMWR_TRAD_AGG_ST_DISTRICT_COMP[],E$1,0))</f>
        <v>56951</v>
      </c>
      <c r="F23" s="103">
        <f>IF(SUM(F24:F35)&lt;&gt;VLOOKUP($B23,MMWR_TRAD_AGG_ST_DISTRICT_COMP[],F$1,0),"ERROR",
VLOOKUP($B23,MMWR_TRAD_AGG_ST_DISTRICT_COMP[],F$1,0))</f>
        <v>17169</v>
      </c>
      <c r="G23" s="105">
        <f t="shared" si="0"/>
        <v>0.30146968446559325</v>
      </c>
      <c r="H23" s="103">
        <f>IF(SUM(H24:H35)&lt;&gt;VLOOKUP($B23,MMWR_TRAD_AGG_ST_DISTRICT_COMP[],H$1,0),"ERROR",
VLOOKUP($B23,MMWR_TRAD_AGG_ST_DISTRICT_COMP[],H$1,0))</f>
        <v>73007</v>
      </c>
      <c r="I23" s="103">
        <f>IF(SUM(I24:I35)&lt;&gt;VLOOKUP($B23,MMWR_TRAD_AGG_ST_DISTRICT_COMP[],I$1,0),"ERROR",
VLOOKUP($B23,MMWR_TRAD_AGG_ST_DISTRICT_COMP[],I$1,0))</f>
        <v>42861</v>
      </c>
      <c r="J23" s="106">
        <f t="shared" si="1"/>
        <v>0.58708069089265413</v>
      </c>
      <c r="K23" s="103">
        <f>IF(SUM(K24:K35)&lt;&gt;VLOOKUP($B23,MMWR_TRAD_AGG_ST_DISTRICT_COMP[],K$1,0),"ERROR",
VLOOKUP($B23,MMWR_TRAD_AGG_ST_DISTRICT_COMP[],K$1,0))</f>
        <v>10333</v>
      </c>
      <c r="L23" s="103">
        <f>IF(SUM(L24:L35)&lt;&gt;VLOOKUP($B23,MMWR_TRAD_AGG_ST_DISTRICT_COMP[],L$1,0),"ERROR",
VLOOKUP($B23,MMWR_TRAD_AGG_ST_DISTRICT_COMP[],L$1,0))</f>
        <v>8419</v>
      </c>
      <c r="M23" s="106">
        <f t="shared" si="2"/>
        <v>0.81476821832962354</v>
      </c>
      <c r="N23" s="103">
        <f>IF(SUM(N24:N35)&lt;&gt;VLOOKUP($B23,MMWR_TRAD_AGG_ST_DISTRICT_COMP[],N$1,0),"ERROR",
VLOOKUP($B23,MMWR_TRAD_AGG_ST_DISTRICT_COMP[],N$1,0))</f>
        <v>21321</v>
      </c>
      <c r="O23" s="103">
        <f>IF(SUM(O24:O35)&lt;&gt;VLOOKUP($B23,MMWR_TRAD_AGG_ST_DISTRICT_COMP[],O$1,0),"ERROR",
VLOOKUP($B23,MMWR_TRAD_AGG_ST_DISTRICT_COMP[],O$1,0))</f>
        <v>15369</v>
      </c>
      <c r="P23" s="106">
        <f t="shared" si="3"/>
        <v>0.72083860982130299</v>
      </c>
      <c r="Q23" s="103">
        <f>IF(SUM(Q24:Q35)&lt;&gt;VLOOKUP($B23,MMWR_TRAD_AGG_ST_DISTRICT_COMP[],Q$1,0),"ERROR",
VLOOKUP($B23,MMWR_TRAD_AGG_ST_DISTRICT_COMP[],Q$1,0))</f>
        <v>165</v>
      </c>
      <c r="R23" s="103">
        <f>IF(SUM(R24:R35)&lt;&gt;VLOOKUP($B23,MMWR_TRAD_AGG_ST_DISTRICT_COMP[],R$1,0),"ERROR",
VLOOKUP($B23,MMWR_TRAD_AGG_ST_DISTRICT_COMP[],R$1,0))</f>
        <v>1214</v>
      </c>
      <c r="S23" s="107">
        <f>SUM(S24:S35)</f>
        <v>52332</v>
      </c>
      <c r="T23" s="28"/>
    </row>
    <row r="24" spans="1:20" s="124" customFormat="1" x14ac:dyDescent="0.2">
      <c r="A24" s="93"/>
      <c r="B24" s="128" t="s">
        <v>404</v>
      </c>
      <c r="C24" s="110">
        <f>IFERROR(VLOOKUP($B24,MMWR_TRAD_AGG_STATE_COMP[],C$1,0),"ERROR")</f>
        <v>7122</v>
      </c>
      <c r="D24" s="111">
        <f>IFERROR(VLOOKUP($B24,MMWR_TRAD_AGG_STATE_COMP[],D$1,0),"ERROR")</f>
        <v>451.05293456890001</v>
      </c>
      <c r="E24" s="112">
        <f>IFERROR(VLOOKUP($B24,MMWR_TRAD_AGG_STATE_COMP[],E$1,0),"ERROR")</f>
        <v>8310</v>
      </c>
      <c r="F24" s="113">
        <f>IFERROR(VLOOKUP($B24,MMWR_TRAD_AGG_STATE_COMP[],F$1,0),"ERROR")</f>
        <v>3083</v>
      </c>
      <c r="G24" s="114">
        <f t="shared" si="0"/>
        <v>0.37099879663056556</v>
      </c>
      <c r="H24" s="112">
        <f>IFERROR(VLOOKUP($B24,MMWR_TRAD_AGG_STATE_COMP[],H$1,0),"ERROR")</f>
        <v>9592</v>
      </c>
      <c r="I24" s="113">
        <f>IFERROR(VLOOKUP($B24,MMWR_TRAD_AGG_STATE_COMP[],I$1,0),"ERROR")</f>
        <v>6617</v>
      </c>
      <c r="J24" s="115">
        <f t="shared" si="1"/>
        <v>0.68984570475396167</v>
      </c>
      <c r="K24" s="112">
        <f>IFERROR(VLOOKUP($B24,MMWR_TRAD_AGG_STATE_COMP[],K$1,0),"ERROR")</f>
        <v>1517</v>
      </c>
      <c r="L24" s="113">
        <f>IFERROR(VLOOKUP($B24,MMWR_TRAD_AGG_STATE_COMP[],L$1,0),"ERROR")</f>
        <v>1366</v>
      </c>
      <c r="M24" s="115">
        <f t="shared" si="2"/>
        <v>0.90046143704680293</v>
      </c>
      <c r="N24" s="112">
        <f>IFERROR(VLOOKUP($B24,MMWR_TRAD_AGG_STATE_COMP[],N$1,0),"ERROR")</f>
        <v>3267</v>
      </c>
      <c r="O24" s="113">
        <f>IFERROR(VLOOKUP($B24,MMWR_TRAD_AGG_STATE_COMP[],O$1,0),"ERROR")</f>
        <v>2573</v>
      </c>
      <c r="P24" s="115">
        <f t="shared" si="3"/>
        <v>0.78757269666360574</v>
      </c>
      <c r="Q24" s="116">
        <f>IFERROR(VLOOKUP($B24,MMWR_TRAD_AGG_STATE_COMP[],Q$1,0),"ERROR")</f>
        <v>27</v>
      </c>
      <c r="R24" s="116">
        <f>IFERROR(VLOOKUP($B24,MMWR_TRAD_AGG_STATE_COMP[],R$1,0),"ERROR")</f>
        <v>280</v>
      </c>
      <c r="S24" s="116">
        <f>IFERROR(VLOOKUP($B24,MMWR_APP_STATE_COMP[],S$1,0),"ERROR")</f>
        <v>7558</v>
      </c>
      <c r="T24" s="28"/>
    </row>
    <row r="25" spans="1:20" s="124" customFormat="1" x14ac:dyDescent="0.2">
      <c r="A25" s="108"/>
      <c r="B25" s="128" t="s">
        <v>402</v>
      </c>
      <c r="C25" s="110">
        <f>IFERROR(VLOOKUP($B25,MMWR_TRAD_AGG_STATE_COMP[],C$1,0),"ERROR")</f>
        <v>7086</v>
      </c>
      <c r="D25" s="111">
        <f>IFERROR(VLOOKUP($B25,MMWR_TRAD_AGG_STATE_COMP[],D$1,0),"ERROR")</f>
        <v>572.39881456390003</v>
      </c>
      <c r="E25" s="112">
        <f>IFERROR(VLOOKUP($B25,MMWR_TRAD_AGG_STATE_COMP[],E$1,0),"ERROR")</f>
        <v>5790</v>
      </c>
      <c r="F25" s="113">
        <f>IFERROR(VLOOKUP($B25,MMWR_TRAD_AGG_STATE_COMP[],F$1,0),"ERROR")</f>
        <v>2053</v>
      </c>
      <c r="G25" s="114">
        <f t="shared" si="0"/>
        <v>0.35457685664939553</v>
      </c>
      <c r="H25" s="112">
        <f>IFERROR(VLOOKUP($B25,MMWR_TRAD_AGG_STATE_COMP[],H$1,0),"ERROR")</f>
        <v>9207</v>
      </c>
      <c r="I25" s="113">
        <f>IFERROR(VLOOKUP($B25,MMWR_TRAD_AGG_STATE_COMP[],I$1,0),"ERROR")</f>
        <v>6779</v>
      </c>
      <c r="J25" s="115">
        <f t="shared" si="1"/>
        <v>0.73628760725534914</v>
      </c>
      <c r="K25" s="112">
        <f>IFERROR(VLOOKUP($B25,MMWR_TRAD_AGG_STATE_COMP[],K$1,0),"ERROR")</f>
        <v>1193</v>
      </c>
      <c r="L25" s="113">
        <f>IFERROR(VLOOKUP($B25,MMWR_TRAD_AGG_STATE_COMP[],L$1,0),"ERROR")</f>
        <v>1051</v>
      </c>
      <c r="M25" s="115">
        <f t="shared" si="2"/>
        <v>0.8809723386420788</v>
      </c>
      <c r="N25" s="112">
        <f>IFERROR(VLOOKUP($B25,MMWR_TRAD_AGG_STATE_COMP[],N$1,0),"ERROR")</f>
        <v>2054</v>
      </c>
      <c r="O25" s="113">
        <f>IFERROR(VLOOKUP($B25,MMWR_TRAD_AGG_STATE_COMP[],O$1,0),"ERROR")</f>
        <v>1558</v>
      </c>
      <c r="P25" s="115">
        <f t="shared" si="3"/>
        <v>0.75851996105160657</v>
      </c>
      <c r="Q25" s="116">
        <f>IFERROR(VLOOKUP($B25,MMWR_TRAD_AGG_STATE_COMP[],Q$1,0),"ERROR")</f>
        <v>17</v>
      </c>
      <c r="R25" s="116">
        <f>IFERROR(VLOOKUP($B25,MMWR_TRAD_AGG_STATE_COMP[],R$1,0),"ERROR")</f>
        <v>198</v>
      </c>
      <c r="S25" s="116">
        <f>IFERROR(VLOOKUP($B25,MMWR_APP_STATE_COMP[],S$1,0),"ERROR")</f>
        <v>7851</v>
      </c>
      <c r="T25" s="28"/>
    </row>
    <row r="26" spans="1:20" s="124" customFormat="1" x14ac:dyDescent="0.2">
      <c r="A26" s="108"/>
      <c r="B26" s="128" t="s">
        <v>409</v>
      </c>
      <c r="C26" s="110">
        <f>IFERROR(VLOOKUP($B26,MMWR_TRAD_AGG_STATE_COMP[],C$1,0),"ERROR")</f>
        <v>1772</v>
      </c>
      <c r="D26" s="111">
        <f>IFERROR(VLOOKUP($B26,MMWR_TRAD_AGG_STATE_COMP[],D$1,0),"ERROR")</f>
        <v>166.24266365689999</v>
      </c>
      <c r="E26" s="112">
        <f>IFERROR(VLOOKUP($B26,MMWR_TRAD_AGG_STATE_COMP[],E$1,0),"ERROR")</f>
        <v>2745</v>
      </c>
      <c r="F26" s="113">
        <f>IFERROR(VLOOKUP($B26,MMWR_TRAD_AGG_STATE_COMP[],F$1,0),"ERROR")</f>
        <v>730</v>
      </c>
      <c r="G26" s="114">
        <f t="shared" si="0"/>
        <v>0.26593806921675772</v>
      </c>
      <c r="H26" s="112">
        <f>IFERROR(VLOOKUP($B26,MMWR_TRAD_AGG_STATE_COMP[],H$1,0),"ERROR")</f>
        <v>3136</v>
      </c>
      <c r="I26" s="113">
        <f>IFERROR(VLOOKUP($B26,MMWR_TRAD_AGG_STATE_COMP[],I$1,0),"ERROR")</f>
        <v>1374</v>
      </c>
      <c r="J26" s="115">
        <f t="shared" si="1"/>
        <v>0.43813775510204084</v>
      </c>
      <c r="K26" s="112">
        <f>IFERROR(VLOOKUP($B26,MMWR_TRAD_AGG_STATE_COMP[],K$1,0),"ERROR")</f>
        <v>267</v>
      </c>
      <c r="L26" s="113">
        <f>IFERROR(VLOOKUP($B26,MMWR_TRAD_AGG_STATE_COMP[],L$1,0),"ERROR")</f>
        <v>204</v>
      </c>
      <c r="M26" s="115">
        <f t="shared" si="2"/>
        <v>0.7640449438202247</v>
      </c>
      <c r="N26" s="112">
        <f>IFERROR(VLOOKUP($B26,MMWR_TRAD_AGG_STATE_COMP[],N$1,0),"ERROR")</f>
        <v>1240</v>
      </c>
      <c r="O26" s="113">
        <f>IFERROR(VLOOKUP($B26,MMWR_TRAD_AGG_STATE_COMP[],O$1,0),"ERROR")</f>
        <v>1046</v>
      </c>
      <c r="P26" s="115">
        <f t="shared" si="3"/>
        <v>0.84354838709677415</v>
      </c>
      <c r="Q26" s="116">
        <f>IFERROR(VLOOKUP($B26,MMWR_TRAD_AGG_STATE_COMP[],Q$1,0),"ERROR")</f>
        <v>2</v>
      </c>
      <c r="R26" s="116">
        <f>IFERROR(VLOOKUP($B26,MMWR_TRAD_AGG_STATE_COMP[],R$1,0),"ERROR")</f>
        <v>16</v>
      </c>
      <c r="S26" s="116">
        <f>IFERROR(VLOOKUP($B26,MMWR_APP_STATE_COMP[],S$1,0),"ERROR")</f>
        <v>1298</v>
      </c>
      <c r="T26" s="28"/>
    </row>
    <row r="27" spans="1:20" s="124" customFormat="1" x14ac:dyDescent="0.2">
      <c r="A27" s="108"/>
      <c r="B27" s="128" t="s">
        <v>432</v>
      </c>
      <c r="C27" s="110">
        <f>IFERROR(VLOOKUP($B27,MMWR_TRAD_AGG_STATE_COMP[],C$1,0),"ERROR")</f>
        <v>2518</v>
      </c>
      <c r="D27" s="111">
        <f>IFERROR(VLOOKUP($B27,MMWR_TRAD_AGG_STATE_COMP[],D$1,0),"ERROR")</f>
        <v>194.88006354250001</v>
      </c>
      <c r="E27" s="112">
        <f>IFERROR(VLOOKUP($B27,MMWR_TRAD_AGG_STATE_COMP[],E$1,0),"ERROR")</f>
        <v>2856</v>
      </c>
      <c r="F27" s="113">
        <f>IFERROR(VLOOKUP($B27,MMWR_TRAD_AGG_STATE_COMP[],F$1,0),"ERROR")</f>
        <v>795</v>
      </c>
      <c r="G27" s="114">
        <f t="shared" si="0"/>
        <v>0.27836134453781514</v>
      </c>
      <c r="H27" s="112">
        <f>IFERROR(VLOOKUP($B27,MMWR_TRAD_AGG_STATE_COMP[],H$1,0),"ERROR")</f>
        <v>3651</v>
      </c>
      <c r="I27" s="113">
        <f>IFERROR(VLOOKUP($B27,MMWR_TRAD_AGG_STATE_COMP[],I$1,0),"ERROR")</f>
        <v>1591</v>
      </c>
      <c r="J27" s="115">
        <f t="shared" si="1"/>
        <v>0.43577102163790743</v>
      </c>
      <c r="K27" s="112">
        <f>IFERROR(VLOOKUP($B27,MMWR_TRAD_AGG_STATE_COMP[],K$1,0),"ERROR")</f>
        <v>399</v>
      </c>
      <c r="L27" s="113">
        <f>IFERROR(VLOOKUP($B27,MMWR_TRAD_AGG_STATE_COMP[],L$1,0),"ERROR")</f>
        <v>262</v>
      </c>
      <c r="M27" s="115">
        <f t="shared" si="2"/>
        <v>0.65664160401002503</v>
      </c>
      <c r="N27" s="112">
        <f>IFERROR(VLOOKUP($B27,MMWR_TRAD_AGG_STATE_COMP[],N$1,0),"ERROR")</f>
        <v>394</v>
      </c>
      <c r="O27" s="113">
        <f>IFERROR(VLOOKUP($B27,MMWR_TRAD_AGG_STATE_COMP[],O$1,0),"ERROR")</f>
        <v>244</v>
      </c>
      <c r="P27" s="115">
        <f t="shared" si="3"/>
        <v>0.61928934010152281</v>
      </c>
      <c r="Q27" s="116">
        <f>IFERROR(VLOOKUP($B27,MMWR_TRAD_AGG_STATE_COMP[],Q$1,0),"ERROR")</f>
        <v>1</v>
      </c>
      <c r="R27" s="116">
        <f>IFERROR(VLOOKUP($B27,MMWR_TRAD_AGG_STATE_COMP[],R$1,0),"ERROR")</f>
        <v>15</v>
      </c>
      <c r="S27" s="116">
        <f>IFERROR(VLOOKUP($B27,MMWR_APP_STATE_COMP[],S$1,0),"ERROR")</f>
        <v>1478</v>
      </c>
      <c r="T27" s="28"/>
    </row>
    <row r="28" spans="1:20" s="124" customFormat="1" x14ac:dyDescent="0.2">
      <c r="A28" s="108"/>
      <c r="B28" s="128" t="s">
        <v>405</v>
      </c>
      <c r="C28" s="110">
        <f>IFERROR(VLOOKUP($B28,MMWR_TRAD_AGG_STATE_COMP[],C$1,0),"ERROR")</f>
        <v>3695</v>
      </c>
      <c r="D28" s="111">
        <f>IFERROR(VLOOKUP($B28,MMWR_TRAD_AGG_STATE_COMP[],D$1,0),"ERROR")</f>
        <v>267.64276048710002</v>
      </c>
      <c r="E28" s="112">
        <f>IFERROR(VLOOKUP($B28,MMWR_TRAD_AGG_STATE_COMP[],E$1,0),"ERROR")</f>
        <v>8487</v>
      </c>
      <c r="F28" s="113">
        <f>IFERROR(VLOOKUP($B28,MMWR_TRAD_AGG_STATE_COMP[],F$1,0),"ERROR")</f>
        <v>2524</v>
      </c>
      <c r="G28" s="114">
        <f t="shared" si="0"/>
        <v>0.29739601743843525</v>
      </c>
      <c r="H28" s="112">
        <f>IFERROR(VLOOKUP($B28,MMWR_TRAD_AGG_STATE_COMP[],H$1,0),"ERROR")</f>
        <v>6964</v>
      </c>
      <c r="I28" s="113">
        <f>IFERROR(VLOOKUP($B28,MMWR_TRAD_AGG_STATE_COMP[],I$1,0),"ERROR")</f>
        <v>3586</v>
      </c>
      <c r="J28" s="115">
        <f t="shared" si="1"/>
        <v>0.51493394600804132</v>
      </c>
      <c r="K28" s="112">
        <f>IFERROR(VLOOKUP($B28,MMWR_TRAD_AGG_STATE_COMP[],K$1,0),"ERROR")</f>
        <v>852</v>
      </c>
      <c r="L28" s="113">
        <f>IFERROR(VLOOKUP($B28,MMWR_TRAD_AGG_STATE_COMP[],L$1,0),"ERROR")</f>
        <v>727</v>
      </c>
      <c r="M28" s="115">
        <f t="shared" si="2"/>
        <v>0.85328638497652587</v>
      </c>
      <c r="N28" s="112">
        <f>IFERROR(VLOOKUP($B28,MMWR_TRAD_AGG_STATE_COMP[],N$1,0),"ERROR")</f>
        <v>1289</v>
      </c>
      <c r="O28" s="113">
        <f>IFERROR(VLOOKUP($B28,MMWR_TRAD_AGG_STATE_COMP[],O$1,0),"ERROR")</f>
        <v>853</v>
      </c>
      <c r="P28" s="115">
        <f t="shared" si="3"/>
        <v>0.66175329712955777</v>
      </c>
      <c r="Q28" s="116">
        <f>IFERROR(VLOOKUP($B28,MMWR_TRAD_AGG_STATE_COMP[],Q$1,0),"ERROR")</f>
        <v>35</v>
      </c>
      <c r="R28" s="116">
        <f>IFERROR(VLOOKUP($B28,MMWR_TRAD_AGG_STATE_COMP[],R$1,0),"ERROR")</f>
        <v>201</v>
      </c>
      <c r="S28" s="116">
        <f>IFERROR(VLOOKUP($B28,MMWR_APP_STATE_COMP[],S$1,0),"ERROR")</f>
        <v>6498</v>
      </c>
      <c r="T28" s="28"/>
    </row>
    <row r="29" spans="1:20" s="124" customFormat="1" x14ac:dyDescent="0.2">
      <c r="A29" s="108"/>
      <c r="B29" s="128" t="s">
        <v>411</v>
      </c>
      <c r="C29" s="110">
        <f>IFERROR(VLOOKUP($B29,MMWR_TRAD_AGG_STATE_COMP[],C$1,0),"ERROR")</f>
        <v>3881</v>
      </c>
      <c r="D29" s="111">
        <f>IFERROR(VLOOKUP($B29,MMWR_TRAD_AGG_STATE_COMP[],D$1,0),"ERROR")</f>
        <v>93.545220303999997</v>
      </c>
      <c r="E29" s="112">
        <f>IFERROR(VLOOKUP($B29,MMWR_TRAD_AGG_STATE_COMP[],E$1,0),"ERROR")</f>
        <v>5580</v>
      </c>
      <c r="F29" s="113">
        <f>IFERROR(VLOOKUP($B29,MMWR_TRAD_AGG_STATE_COMP[],F$1,0),"ERROR")</f>
        <v>1387</v>
      </c>
      <c r="G29" s="114">
        <f t="shared" si="0"/>
        <v>0.24856630824372761</v>
      </c>
      <c r="H29" s="112">
        <f>IFERROR(VLOOKUP($B29,MMWR_TRAD_AGG_STATE_COMP[],H$1,0),"ERROR")</f>
        <v>6385</v>
      </c>
      <c r="I29" s="113">
        <f>IFERROR(VLOOKUP($B29,MMWR_TRAD_AGG_STATE_COMP[],I$1,0),"ERROR")</f>
        <v>1599</v>
      </c>
      <c r="J29" s="115">
        <f t="shared" si="1"/>
        <v>0.25043069694596709</v>
      </c>
      <c r="K29" s="112">
        <f>IFERROR(VLOOKUP($B29,MMWR_TRAD_AGG_STATE_COMP[],K$1,0),"ERROR")</f>
        <v>394</v>
      </c>
      <c r="L29" s="113">
        <f>IFERROR(VLOOKUP($B29,MMWR_TRAD_AGG_STATE_COMP[],L$1,0),"ERROR")</f>
        <v>244</v>
      </c>
      <c r="M29" s="115">
        <f t="shared" si="2"/>
        <v>0.61928934010152281</v>
      </c>
      <c r="N29" s="112">
        <f>IFERROR(VLOOKUP($B29,MMWR_TRAD_AGG_STATE_COMP[],N$1,0),"ERROR")</f>
        <v>1117</v>
      </c>
      <c r="O29" s="113">
        <f>IFERROR(VLOOKUP($B29,MMWR_TRAD_AGG_STATE_COMP[],O$1,0),"ERROR")</f>
        <v>439</v>
      </c>
      <c r="P29" s="115">
        <f t="shared" si="3"/>
        <v>0.39301700984780663</v>
      </c>
      <c r="Q29" s="116">
        <f>IFERROR(VLOOKUP($B29,MMWR_TRAD_AGG_STATE_COMP[],Q$1,0),"ERROR")</f>
        <v>4</v>
      </c>
      <c r="R29" s="116">
        <f>IFERROR(VLOOKUP($B29,MMWR_TRAD_AGG_STATE_COMP[],R$1,0),"ERROR")</f>
        <v>4</v>
      </c>
      <c r="S29" s="116">
        <f>IFERROR(VLOOKUP($B29,MMWR_APP_STATE_COMP[],S$1,0),"ERROR")</f>
        <v>2256</v>
      </c>
      <c r="T29" s="28"/>
    </row>
    <row r="30" spans="1:20" s="124" customFormat="1" x14ac:dyDescent="0.2">
      <c r="A30" s="108"/>
      <c r="B30" s="128" t="s">
        <v>407</v>
      </c>
      <c r="C30" s="110">
        <f>IFERROR(VLOOKUP($B30,MMWR_TRAD_AGG_STATE_COMP[],C$1,0),"ERROR")</f>
        <v>5969</v>
      </c>
      <c r="D30" s="111">
        <f>IFERROR(VLOOKUP($B30,MMWR_TRAD_AGG_STATE_COMP[],D$1,0),"ERROR")</f>
        <v>271.95962472780002</v>
      </c>
      <c r="E30" s="112">
        <f>IFERROR(VLOOKUP($B30,MMWR_TRAD_AGG_STATE_COMP[],E$1,0),"ERROR")</f>
        <v>6008</v>
      </c>
      <c r="F30" s="113">
        <f>IFERROR(VLOOKUP($B30,MMWR_TRAD_AGG_STATE_COMP[],F$1,0),"ERROR")</f>
        <v>1879</v>
      </c>
      <c r="G30" s="114">
        <f t="shared" si="0"/>
        <v>0.31274966711051932</v>
      </c>
      <c r="H30" s="112">
        <f>IFERROR(VLOOKUP($B30,MMWR_TRAD_AGG_STATE_COMP[],H$1,0),"ERROR")</f>
        <v>8983</v>
      </c>
      <c r="I30" s="113">
        <f>IFERROR(VLOOKUP($B30,MMWR_TRAD_AGG_STATE_COMP[],I$1,0),"ERROR")</f>
        <v>5375</v>
      </c>
      <c r="J30" s="115">
        <f t="shared" si="1"/>
        <v>0.5983524435043972</v>
      </c>
      <c r="K30" s="112">
        <f>IFERROR(VLOOKUP($B30,MMWR_TRAD_AGG_STATE_COMP[],K$1,0),"ERROR")</f>
        <v>2269</v>
      </c>
      <c r="L30" s="113">
        <f>IFERROR(VLOOKUP($B30,MMWR_TRAD_AGG_STATE_COMP[],L$1,0),"ERROR")</f>
        <v>2109</v>
      </c>
      <c r="M30" s="115">
        <f t="shared" si="2"/>
        <v>0.92948435434111942</v>
      </c>
      <c r="N30" s="112">
        <f>IFERROR(VLOOKUP($B30,MMWR_TRAD_AGG_STATE_COMP[],N$1,0),"ERROR")</f>
        <v>6167</v>
      </c>
      <c r="O30" s="113">
        <f>IFERROR(VLOOKUP($B30,MMWR_TRAD_AGG_STATE_COMP[],O$1,0),"ERROR")</f>
        <v>4533</v>
      </c>
      <c r="P30" s="115">
        <f t="shared" si="3"/>
        <v>0.73504134911626395</v>
      </c>
      <c r="Q30" s="116">
        <f>IFERROR(VLOOKUP($B30,MMWR_TRAD_AGG_STATE_COMP[],Q$1,0),"ERROR")</f>
        <v>20</v>
      </c>
      <c r="R30" s="116">
        <f>IFERROR(VLOOKUP($B30,MMWR_TRAD_AGG_STATE_COMP[],R$1,0),"ERROR")</f>
        <v>133</v>
      </c>
      <c r="S30" s="116">
        <f>IFERROR(VLOOKUP($B30,MMWR_APP_STATE_COMP[],S$1,0),"ERROR")</f>
        <v>6667</v>
      </c>
      <c r="T30" s="28"/>
    </row>
    <row r="31" spans="1:20" s="124" customFormat="1" x14ac:dyDescent="0.2">
      <c r="A31" s="108"/>
      <c r="B31" s="128" t="s">
        <v>410</v>
      </c>
      <c r="C31" s="110">
        <f>IFERROR(VLOOKUP($B31,MMWR_TRAD_AGG_STATE_COMP[],C$1,0),"ERROR")</f>
        <v>2041</v>
      </c>
      <c r="D31" s="111">
        <f>IFERROR(VLOOKUP($B31,MMWR_TRAD_AGG_STATE_COMP[],D$1,0),"ERROR")</f>
        <v>151.1450269476</v>
      </c>
      <c r="E31" s="112">
        <f>IFERROR(VLOOKUP($B31,MMWR_TRAD_AGG_STATE_COMP[],E$1,0),"ERROR")</f>
        <v>2303</v>
      </c>
      <c r="F31" s="113">
        <f>IFERROR(VLOOKUP($B31,MMWR_TRAD_AGG_STATE_COMP[],F$1,0),"ERROR")</f>
        <v>405</v>
      </c>
      <c r="G31" s="114">
        <f t="shared" si="0"/>
        <v>0.17585757707338254</v>
      </c>
      <c r="H31" s="112">
        <f>IFERROR(VLOOKUP($B31,MMWR_TRAD_AGG_STATE_COMP[],H$1,0),"ERROR")</f>
        <v>2817</v>
      </c>
      <c r="I31" s="113">
        <f>IFERROR(VLOOKUP($B31,MMWR_TRAD_AGG_STATE_COMP[],I$1,0),"ERROR")</f>
        <v>914</v>
      </c>
      <c r="J31" s="115">
        <f t="shared" si="1"/>
        <v>0.32445864394746182</v>
      </c>
      <c r="K31" s="112">
        <f>IFERROR(VLOOKUP($B31,MMWR_TRAD_AGG_STATE_COMP[],K$1,0),"ERROR")</f>
        <v>602</v>
      </c>
      <c r="L31" s="113">
        <f>IFERROR(VLOOKUP($B31,MMWR_TRAD_AGG_STATE_COMP[],L$1,0),"ERROR")</f>
        <v>492</v>
      </c>
      <c r="M31" s="115">
        <f t="shared" si="2"/>
        <v>0.81727574750830567</v>
      </c>
      <c r="N31" s="112">
        <f>IFERROR(VLOOKUP($B31,MMWR_TRAD_AGG_STATE_COMP[],N$1,0),"ERROR")</f>
        <v>449</v>
      </c>
      <c r="O31" s="113">
        <f>IFERROR(VLOOKUP($B31,MMWR_TRAD_AGG_STATE_COMP[],O$1,0),"ERROR")</f>
        <v>239</v>
      </c>
      <c r="P31" s="115">
        <f t="shared" si="3"/>
        <v>0.53229398663697103</v>
      </c>
      <c r="Q31" s="116">
        <f>IFERROR(VLOOKUP($B31,MMWR_TRAD_AGG_STATE_COMP[],Q$1,0),"ERROR")</f>
        <v>0</v>
      </c>
      <c r="R31" s="116">
        <f>IFERROR(VLOOKUP($B31,MMWR_TRAD_AGG_STATE_COMP[],R$1,0),"ERROR")</f>
        <v>13</v>
      </c>
      <c r="S31" s="116">
        <f>IFERROR(VLOOKUP($B31,MMWR_APP_STATE_COMP[],S$1,0),"ERROR")</f>
        <v>1614</v>
      </c>
      <c r="T31" s="28"/>
    </row>
    <row r="32" spans="1:20" s="124" customFormat="1" x14ac:dyDescent="0.2">
      <c r="A32" s="108"/>
      <c r="B32" s="128" t="s">
        <v>429</v>
      </c>
      <c r="C32" s="110">
        <f>IFERROR(VLOOKUP($B32,MMWR_TRAD_AGG_STATE_COMP[],C$1,0),"ERROR")</f>
        <v>315</v>
      </c>
      <c r="D32" s="111">
        <f>IFERROR(VLOOKUP($B32,MMWR_TRAD_AGG_STATE_COMP[],D$1,0),"ERROR")</f>
        <v>190.19047619049999</v>
      </c>
      <c r="E32" s="112">
        <f>IFERROR(VLOOKUP($B32,MMWR_TRAD_AGG_STATE_COMP[],E$1,0),"ERROR")</f>
        <v>690</v>
      </c>
      <c r="F32" s="113">
        <f>IFERROR(VLOOKUP($B32,MMWR_TRAD_AGG_STATE_COMP[],F$1,0),"ERROR")</f>
        <v>181</v>
      </c>
      <c r="G32" s="114">
        <f t="shared" si="0"/>
        <v>0.26231884057971017</v>
      </c>
      <c r="H32" s="112">
        <f>IFERROR(VLOOKUP($B32,MMWR_TRAD_AGG_STATE_COMP[],H$1,0),"ERROR")</f>
        <v>741</v>
      </c>
      <c r="I32" s="113">
        <f>IFERROR(VLOOKUP($B32,MMWR_TRAD_AGG_STATE_COMP[],I$1,0),"ERROR")</f>
        <v>177</v>
      </c>
      <c r="J32" s="115">
        <f t="shared" si="1"/>
        <v>0.23886639676113361</v>
      </c>
      <c r="K32" s="112">
        <f>IFERROR(VLOOKUP($B32,MMWR_TRAD_AGG_STATE_COMP[],K$1,0),"ERROR")</f>
        <v>66</v>
      </c>
      <c r="L32" s="113">
        <f>IFERROR(VLOOKUP($B32,MMWR_TRAD_AGG_STATE_COMP[],L$1,0),"ERROR")</f>
        <v>40</v>
      </c>
      <c r="M32" s="115">
        <f t="shared" si="2"/>
        <v>0.60606060606060608</v>
      </c>
      <c r="N32" s="112">
        <f>IFERROR(VLOOKUP($B32,MMWR_TRAD_AGG_STATE_COMP[],N$1,0),"ERROR")</f>
        <v>102</v>
      </c>
      <c r="O32" s="113">
        <f>IFERROR(VLOOKUP($B32,MMWR_TRAD_AGG_STATE_COMP[],O$1,0),"ERROR")</f>
        <v>34</v>
      </c>
      <c r="P32" s="115">
        <f t="shared" si="3"/>
        <v>0.33333333333333331</v>
      </c>
      <c r="Q32" s="116">
        <f>IFERROR(VLOOKUP($B32,MMWR_TRAD_AGG_STATE_COMP[],Q$1,0),"ERROR")</f>
        <v>0</v>
      </c>
      <c r="R32" s="116">
        <f>IFERROR(VLOOKUP($B32,MMWR_TRAD_AGG_STATE_COMP[],R$1,0),"ERROR")</f>
        <v>2</v>
      </c>
      <c r="S32" s="116">
        <f>IFERROR(VLOOKUP($B32,MMWR_APP_STATE_COMP[],S$1,0),"ERROR")</f>
        <v>367</v>
      </c>
      <c r="T32" s="28"/>
    </row>
    <row r="33" spans="1:20" s="124" customFormat="1" x14ac:dyDescent="0.2">
      <c r="A33" s="108"/>
      <c r="B33" s="128" t="s">
        <v>401</v>
      </c>
      <c r="C33" s="110">
        <f>IFERROR(VLOOKUP($B33,MMWR_TRAD_AGG_STATE_COMP[],C$1,0),"ERROR")</f>
        <v>10566</v>
      </c>
      <c r="D33" s="111">
        <f>IFERROR(VLOOKUP($B33,MMWR_TRAD_AGG_STATE_COMP[],D$1,0),"ERROR")</f>
        <v>499.2346204808</v>
      </c>
      <c r="E33" s="112">
        <f>IFERROR(VLOOKUP($B33,MMWR_TRAD_AGG_STATE_COMP[],E$1,0),"ERROR")</f>
        <v>9028</v>
      </c>
      <c r="F33" s="113">
        <f>IFERROR(VLOOKUP($B33,MMWR_TRAD_AGG_STATE_COMP[],F$1,0),"ERROR")</f>
        <v>2651</v>
      </c>
      <c r="G33" s="114">
        <f t="shared" si="0"/>
        <v>0.29364200265839613</v>
      </c>
      <c r="H33" s="112">
        <f>IFERROR(VLOOKUP($B33,MMWR_TRAD_AGG_STATE_COMP[],H$1,0),"ERROR")</f>
        <v>13911</v>
      </c>
      <c r="I33" s="113">
        <f>IFERROR(VLOOKUP($B33,MMWR_TRAD_AGG_STATE_COMP[],I$1,0),"ERROR")</f>
        <v>10780</v>
      </c>
      <c r="J33" s="115">
        <f t="shared" si="1"/>
        <v>0.77492631730285388</v>
      </c>
      <c r="K33" s="112">
        <f>IFERROR(VLOOKUP($B33,MMWR_TRAD_AGG_STATE_COMP[],K$1,0),"ERROR")</f>
        <v>1671</v>
      </c>
      <c r="L33" s="113">
        <f>IFERROR(VLOOKUP($B33,MMWR_TRAD_AGG_STATE_COMP[],L$1,0),"ERROR")</f>
        <v>1573</v>
      </c>
      <c r="M33" s="115">
        <f t="shared" si="2"/>
        <v>0.94135248354278878</v>
      </c>
      <c r="N33" s="112">
        <f>IFERROR(VLOOKUP($B33,MMWR_TRAD_AGG_STATE_COMP[],N$1,0),"ERROR")</f>
        <v>4462</v>
      </c>
      <c r="O33" s="113">
        <f>IFERROR(VLOOKUP($B33,MMWR_TRAD_AGG_STATE_COMP[],O$1,0),"ERROR")</f>
        <v>3529</v>
      </c>
      <c r="P33" s="115">
        <f t="shared" si="3"/>
        <v>0.79090094128193633</v>
      </c>
      <c r="Q33" s="116">
        <f>IFERROR(VLOOKUP($B33,MMWR_TRAD_AGG_STATE_COMP[],Q$1,0),"ERROR")</f>
        <v>47</v>
      </c>
      <c r="R33" s="116">
        <f>IFERROR(VLOOKUP($B33,MMWR_TRAD_AGG_STATE_COMP[],R$1,0),"ERROR")</f>
        <v>343</v>
      </c>
      <c r="S33" s="116">
        <f>IFERROR(VLOOKUP($B33,MMWR_APP_STATE_COMP[],S$1,0),"ERROR")</f>
        <v>13557</v>
      </c>
      <c r="T33" s="28"/>
    </row>
    <row r="34" spans="1:20" s="124" customFormat="1" x14ac:dyDescent="0.2">
      <c r="A34" s="108"/>
      <c r="B34" s="128" t="s">
        <v>430</v>
      </c>
      <c r="C34" s="110">
        <f>IFERROR(VLOOKUP($B34,MMWR_TRAD_AGG_STATE_COMP[],C$1,0),"ERROR")</f>
        <v>1060</v>
      </c>
      <c r="D34" s="111">
        <f>IFERROR(VLOOKUP($B34,MMWR_TRAD_AGG_STATE_COMP[],D$1,0),"ERROR")</f>
        <v>106.7820754717</v>
      </c>
      <c r="E34" s="112">
        <f>IFERROR(VLOOKUP($B34,MMWR_TRAD_AGG_STATE_COMP[],E$1,0),"ERROR")</f>
        <v>976</v>
      </c>
      <c r="F34" s="113">
        <f>IFERROR(VLOOKUP($B34,MMWR_TRAD_AGG_STATE_COMP[],F$1,0),"ERROR")</f>
        <v>265</v>
      </c>
      <c r="G34" s="114">
        <f t="shared" si="0"/>
        <v>0.27151639344262296</v>
      </c>
      <c r="H34" s="112">
        <f>IFERROR(VLOOKUP($B34,MMWR_TRAD_AGG_STATE_COMP[],H$1,0),"ERROR")</f>
        <v>1318</v>
      </c>
      <c r="I34" s="113">
        <f>IFERROR(VLOOKUP($B34,MMWR_TRAD_AGG_STATE_COMP[],I$1,0),"ERROR")</f>
        <v>291</v>
      </c>
      <c r="J34" s="115">
        <f t="shared" si="1"/>
        <v>0.22078907435508346</v>
      </c>
      <c r="K34" s="112">
        <f>IFERROR(VLOOKUP($B34,MMWR_TRAD_AGG_STATE_COMP[],K$1,0),"ERROR")</f>
        <v>791</v>
      </c>
      <c r="L34" s="113">
        <f>IFERROR(VLOOKUP($B34,MMWR_TRAD_AGG_STATE_COMP[],L$1,0),"ERROR")</f>
        <v>101</v>
      </c>
      <c r="M34" s="115">
        <f t="shared" si="2"/>
        <v>0.12768647281921619</v>
      </c>
      <c r="N34" s="112">
        <f>IFERROR(VLOOKUP($B34,MMWR_TRAD_AGG_STATE_COMP[],N$1,0),"ERROR")</f>
        <v>115</v>
      </c>
      <c r="O34" s="113">
        <f>IFERROR(VLOOKUP($B34,MMWR_TRAD_AGG_STATE_COMP[],O$1,0),"ERROR")</f>
        <v>44</v>
      </c>
      <c r="P34" s="115">
        <f t="shared" si="3"/>
        <v>0.38260869565217392</v>
      </c>
      <c r="Q34" s="116">
        <f>IFERROR(VLOOKUP($B34,MMWR_TRAD_AGG_STATE_COMP[],Q$1,0),"ERROR")</f>
        <v>0</v>
      </c>
      <c r="R34" s="116">
        <f>IFERROR(VLOOKUP($B34,MMWR_TRAD_AGG_STATE_COMP[],R$1,0),"ERROR")</f>
        <v>1</v>
      </c>
      <c r="S34" s="116">
        <f>IFERROR(VLOOKUP($B34,MMWR_APP_STATE_COMP[],S$1,0),"ERROR")</f>
        <v>193</v>
      </c>
      <c r="T34" s="28"/>
    </row>
    <row r="35" spans="1:20" s="124" customFormat="1" x14ac:dyDescent="0.2">
      <c r="A35" s="108"/>
      <c r="B35" s="128" t="s">
        <v>406</v>
      </c>
      <c r="C35" s="110">
        <f>IFERROR(VLOOKUP($B35,MMWR_TRAD_AGG_STATE_COMP[],C$1,0),"ERROR")</f>
        <v>4372</v>
      </c>
      <c r="D35" s="111">
        <f>IFERROR(VLOOKUP($B35,MMWR_TRAD_AGG_STATE_COMP[],D$1,0),"ERROR")</f>
        <v>257.74839890210001</v>
      </c>
      <c r="E35" s="112">
        <f>IFERROR(VLOOKUP($B35,MMWR_TRAD_AGG_STATE_COMP[],E$1,0),"ERROR")</f>
        <v>4178</v>
      </c>
      <c r="F35" s="113">
        <f>IFERROR(VLOOKUP($B35,MMWR_TRAD_AGG_STATE_COMP[],F$1,0),"ERROR")</f>
        <v>1216</v>
      </c>
      <c r="G35" s="114">
        <f t="shared" si="0"/>
        <v>0.29104834849210148</v>
      </c>
      <c r="H35" s="112">
        <f>IFERROR(VLOOKUP($B35,MMWR_TRAD_AGG_STATE_COMP[],H$1,0),"ERROR")</f>
        <v>6302</v>
      </c>
      <c r="I35" s="113">
        <f>IFERROR(VLOOKUP($B35,MMWR_TRAD_AGG_STATE_COMP[],I$1,0),"ERROR")</f>
        <v>3778</v>
      </c>
      <c r="J35" s="115">
        <f t="shared" si="1"/>
        <v>0.59949222469057439</v>
      </c>
      <c r="K35" s="112">
        <f>IFERROR(VLOOKUP($B35,MMWR_TRAD_AGG_STATE_COMP[],K$1,0),"ERROR")</f>
        <v>312</v>
      </c>
      <c r="L35" s="113">
        <f>IFERROR(VLOOKUP($B35,MMWR_TRAD_AGG_STATE_COMP[],L$1,0),"ERROR")</f>
        <v>250</v>
      </c>
      <c r="M35" s="115">
        <f t="shared" si="2"/>
        <v>0.80128205128205132</v>
      </c>
      <c r="N35" s="112">
        <f>IFERROR(VLOOKUP($B35,MMWR_TRAD_AGG_STATE_COMP[],N$1,0),"ERROR")</f>
        <v>665</v>
      </c>
      <c r="O35" s="113">
        <f>IFERROR(VLOOKUP($B35,MMWR_TRAD_AGG_STATE_COMP[],O$1,0),"ERROR")</f>
        <v>277</v>
      </c>
      <c r="P35" s="115">
        <f t="shared" si="3"/>
        <v>0.41654135338345866</v>
      </c>
      <c r="Q35" s="116">
        <f>IFERROR(VLOOKUP($B35,MMWR_TRAD_AGG_STATE_COMP[],Q$1,0),"ERROR")</f>
        <v>12</v>
      </c>
      <c r="R35" s="116">
        <f>IFERROR(VLOOKUP($B35,MMWR_TRAD_AGG_STATE_COMP[],R$1,0),"ERROR")</f>
        <v>8</v>
      </c>
      <c r="S35" s="116">
        <f>IFERROR(VLOOKUP($B35,MMWR_APP_STATE_COMP[],S$1,0),"ERROR")</f>
        <v>2995</v>
      </c>
      <c r="T35" s="28"/>
    </row>
    <row r="36" spans="1:20" s="124" customFormat="1" x14ac:dyDescent="0.2">
      <c r="A36" s="28"/>
      <c r="B36" s="127" t="s">
        <v>395</v>
      </c>
      <c r="C36" s="103">
        <f>IF(SUM(C37:C45)&lt;&gt;VLOOKUP($B36,MMWR_TRAD_AGG_ST_DISTRICT_COMP[],C$1,0),"ERROR",
VLOOKUP($B36,MMWR_TRAD_AGG_ST_DISTRICT_COMP[],C$1,0))</f>
        <v>69710</v>
      </c>
      <c r="D36" s="104">
        <f>IFERROR(VLOOKUP($B36,MMWR_TRAD_AGG_ST_DISTRICT_COMP[],D$1,0),"ERROR")</f>
        <v>337.80469086210002</v>
      </c>
      <c r="E36" s="103">
        <f>IFERROR(VLOOKUP($B36,MMWR_TRAD_AGG_ST_DISTRICT_COMP[],E$1,0),"ERROR")</f>
        <v>75037</v>
      </c>
      <c r="F36" s="103">
        <f>IFERROR(VLOOKUP($B36,MMWR_TRAD_AGG_ST_DISTRICT_COMP[],F$1,0),"ERROR")</f>
        <v>27053</v>
      </c>
      <c r="G36" s="105">
        <f t="shared" si="0"/>
        <v>0.36052880578914404</v>
      </c>
      <c r="H36" s="103">
        <f>IFERROR(VLOOKUP($B36,MMWR_TRAD_AGG_ST_DISTRICT_COMP[],H$1,0),"ERROR")</f>
        <v>94506</v>
      </c>
      <c r="I36" s="103">
        <f>IFERROR(VLOOKUP($B36,MMWR_TRAD_AGG_ST_DISTRICT_COMP[],I$1,0),"ERROR")</f>
        <v>57321</v>
      </c>
      <c r="J36" s="106">
        <f t="shared" si="1"/>
        <v>0.60653291854485425</v>
      </c>
      <c r="K36" s="103">
        <f>IFERROR(VLOOKUP($B36,MMWR_TRAD_AGG_ST_DISTRICT_COMP[],K$1,0),"ERROR")</f>
        <v>12009</v>
      </c>
      <c r="L36" s="103">
        <f>IFERROR(VLOOKUP($B36,MMWR_TRAD_AGG_ST_DISTRICT_COMP[],L$1,0),"ERROR")</f>
        <v>8950</v>
      </c>
      <c r="M36" s="106">
        <f t="shared" si="2"/>
        <v>0.74527437755017067</v>
      </c>
      <c r="N36" s="103">
        <f>IFERROR(VLOOKUP($B36,MMWR_TRAD_AGG_ST_DISTRICT_COMP[],N$1,0),"ERROR")</f>
        <v>28221</v>
      </c>
      <c r="O36" s="103">
        <f>IFERROR(VLOOKUP($B36,MMWR_TRAD_AGG_ST_DISTRICT_COMP[],O$1,0),"ERROR")</f>
        <v>20275</v>
      </c>
      <c r="P36" s="106">
        <f t="shared" si="3"/>
        <v>0.7184366252081783</v>
      </c>
      <c r="Q36" s="103">
        <f>IFERROR(VLOOKUP($B36,MMWR_TRAD_AGG_ST_DISTRICT_COMP[],Q$1,0),"ERROR")</f>
        <v>105</v>
      </c>
      <c r="R36" s="107">
        <f>IFERROR(VLOOKUP($B36,MMWR_TRAD_AGG_ST_DISTRICT_COMP[],R$1,0),"ERROR")</f>
        <v>1204</v>
      </c>
      <c r="S36" s="107">
        <f>SUM(S37:S45)</f>
        <v>65748</v>
      </c>
      <c r="T36" s="28"/>
    </row>
    <row r="37" spans="1:20" s="124" customFormat="1" x14ac:dyDescent="0.2">
      <c r="A37" s="28"/>
      <c r="B37" s="128" t="s">
        <v>421</v>
      </c>
      <c r="C37" s="110">
        <f>IFERROR(VLOOKUP($B37,MMWR_TRAD_AGG_STATE_COMP[],C$1,0),"ERROR")</f>
        <v>5322</v>
      </c>
      <c r="D37" s="111">
        <f>IFERROR(VLOOKUP($B37,MMWR_TRAD_AGG_STATE_COMP[],D$1,0),"ERROR")</f>
        <v>336.70913190530001</v>
      </c>
      <c r="E37" s="112">
        <f>IFERROR(VLOOKUP($B37,MMWR_TRAD_AGG_STATE_COMP[],E$1,0),"ERROR")</f>
        <v>3654</v>
      </c>
      <c r="F37" s="113">
        <f>IFERROR(VLOOKUP($B37,MMWR_TRAD_AGG_STATE_COMP[],F$1,0),"ERROR")</f>
        <v>1121</v>
      </c>
      <c r="G37" s="114">
        <f t="shared" si="0"/>
        <v>0.30678708264915161</v>
      </c>
      <c r="H37" s="112">
        <f>IFERROR(VLOOKUP($B37,MMWR_TRAD_AGG_STATE_COMP[],H$1,0),"ERROR")</f>
        <v>7192</v>
      </c>
      <c r="I37" s="113">
        <f>IFERROR(VLOOKUP($B37,MMWR_TRAD_AGG_STATE_COMP[],I$1,0),"ERROR")</f>
        <v>4491</v>
      </c>
      <c r="J37" s="115">
        <f t="shared" si="1"/>
        <v>0.62444382647385988</v>
      </c>
      <c r="K37" s="112">
        <f>IFERROR(VLOOKUP($B37,MMWR_TRAD_AGG_STATE_COMP[],K$1,0),"ERROR")</f>
        <v>2026</v>
      </c>
      <c r="L37" s="113">
        <f>IFERROR(VLOOKUP($B37,MMWR_TRAD_AGG_STATE_COMP[],L$1,0),"ERROR")</f>
        <v>1404</v>
      </c>
      <c r="M37" s="115">
        <f t="shared" si="2"/>
        <v>0.69299111549851922</v>
      </c>
      <c r="N37" s="112">
        <f>IFERROR(VLOOKUP($B37,MMWR_TRAD_AGG_STATE_COMP[],N$1,0),"ERROR")</f>
        <v>7848</v>
      </c>
      <c r="O37" s="113">
        <f>IFERROR(VLOOKUP($B37,MMWR_TRAD_AGG_STATE_COMP[],O$1,0),"ERROR")</f>
        <v>7023</v>
      </c>
      <c r="P37" s="115">
        <f t="shared" si="3"/>
        <v>0.89487767584097855</v>
      </c>
      <c r="Q37" s="116">
        <f>IFERROR(VLOOKUP($B37,MMWR_TRAD_AGG_STATE_COMP[],Q$1,0),"ERROR")</f>
        <v>13</v>
      </c>
      <c r="R37" s="116">
        <f>IFERROR(VLOOKUP($B37,MMWR_TRAD_AGG_STATE_COMP[],R$1,0),"ERROR")</f>
        <v>164</v>
      </c>
      <c r="S37" s="116">
        <f>IFERROR(VLOOKUP($B37,MMWR_APP_STATE_COMP[],S$1,0),"ERROR")</f>
        <v>5198</v>
      </c>
      <c r="T37" s="28"/>
    </row>
    <row r="38" spans="1:20" s="124" customFormat="1" x14ac:dyDescent="0.2">
      <c r="A38" s="28"/>
      <c r="B38" s="128" t="s">
        <v>413</v>
      </c>
      <c r="C38" s="110">
        <f>IFERROR(VLOOKUP($B38,MMWR_TRAD_AGG_STATE_COMP[],C$1,0),"ERROR")</f>
        <v>8215</v>
      </c>
      <c r="D38" s="111">
        <f>IFERROR(VLOOKUP($B38,MMWR_TRAD_AGG_STATE_COMP[],D$1,0),"ERROR")</f>
        <v>422.21692026779999</v>
      </c>
      <c r="E38" s="112">
        <f>IFERROR(VLOOKUP($B38,MMWR_TRAD_AGG_STATE_COMP[],E$1,0),"ERROR")</f>
        <v>7944</v>
      </c>
      <c r="F38" s="113">
        <f>IFERROR(VLOOKUP($B38,MMWR_TRAD_AGG_STATE_COMP[],F$1,0),"ERROR")</f>
        <v>3222</v>
      </c>
      <c r="G38" s="114">
        <f t="shared" ref="G38:G64" si="4">IFERROR(F38/E38,"0%")</f>
        <v>0.40558912386706947</v>
      </c>
      <c r="H38" s="112">
        <f>IFERROR(VLOOKUP($B38,MMWR_TRAD_AGG_STATE_COMP[],H$1,0),"ERROR")</f>
        <v>10808</v>
      </c>
      <c r="I38" s="113">
        <f>IFERROR(VLOOKUP($B38,MMWR_TRAD_AGG_STATE_COMP[],I$1,0),"ERROR")</f>
        <v>7422</v>
      </c>
      <c r="J38" s="115">
        <f t="shared" ref="J38:J64" si="5">IFERROR(I38/H38,"0%")</f>
        <v>0.68671354552183572</v>
      </c>
      <c r="K38" s="112">
        <f>IFERROR(VLOOKUP($B38,MMWR_TRAD_AGG_STATE_COMP[],K$1,0),"ERROR")</f>
        <v>2034</v>
      </c>
      <c r="L38" s="113">
        <f>IFERROR(VLOOKUP($B38,MMWR_TRAD_AGG_STATE_COMP[],L$1,0),"ERROR")</f>
        <v>1757</v>
      </c>
      <c r="M38" s="115">
        <f t="shared" ref="M38:M64" si="6">IFERROR(L38/K38,"0%")</f>
        <v>0.86381514257620451</v>
      </c>
      <c r="N38" s="112">
        <f>IFERROR(VLOOKUP($B38,MMWR_TRAD_AGG_STATE_COMP[],N$1,0),"ERROR")</f>
        <v>4687</v>
      </c>
      <c r="O38" s="113">
        <f>IFERROR(VLOOKUP($B38,MMWR_TRAD_AGG_STATE_COMP[],O$1,0),"ERROR")</f>
        <v>2831</v>
      </c>
      <c r="P38" s="115">
        <f t="shared" ref="P38:P64" si="7">IFERROR(O38/N38,"0%")</f>
        <v>0.6040110945167485</v>
      </c>
      <c r="Q38" s="116">
        <f>IFERROR(VLOOKUP($B38,MMWR_TRAD_AGG_STATE_COMP[],Q$1,0),"ERROR")</f>
        <v>8</v>
      </c>
      <c r="R38" s="116">
        <f>IFERROR(VLOOKUP($B38,MMWR_TRAD_AGG_STATE_COMP[],R$1,0),"ERROR")</f>
        <v>57</v>
      </c>
      <c r="S38" s="116">
        <f>IFERROR(VLOOKUP($B38,MMWR_APP_STATE_COMP[],S$1,0),"ERROR")</f>
        <v>5693</v>
      </c>
      <c r="T38" s="28"/>
    </row>
    <row r="39" spans="1:20" s="124" customFormat="1" x14ac:dyDescent="0.2">
      <c r="A39" s="28"/>
      <c r="B39" s="128" t="s">
        <v>397</v>
      </c>
      <c r="C39" s="110">
        <f>IFERROR(VLOOKUP($B39,MMWR_TRAD_AGG_STATE_COMP[],C$1,0),"ERROR")</f>
        <v>7462</v>
      </c>
      <c r="D39" s="111">
        <f>IFERROR(VLOOKUP($B39,MMWR_TRAD_AGG_STATE_COMP[],D$1,0),"ERROR")</f>
        <v>390.38046100240001</v>
      </c>
      <c r="E39" s="112">
        <f>IFERROR(VLOOKUP($B39,MMWR_TRAD_AGG_STATE_COMP[],E$1,0),"ERROR")</f>
        <v>6384</v>
      </c>
      <c r="F39" s="113">
        <f>IFERROR(VLOOKUP($B39,MMWR_TRAD_AGG_STATE_COMP[],F$1,0),"ERROR")</f>
        <v>2253</v>
      </c>
      <c r="G39" s="114">
        <f t="shared" si="4"/>
        <v>0.35291353383458646</v>
      </c>
      <c r="H39" s="112">
        <f>IFERROR(VLOOKUP($B39,MMWR_TRAD_AGG_STATE_COMP[],H$1,0),"ERROR")</f>
        <v>9751</v>
      </c>
      <c r="I39" s="113">
        <f>IFERROR(VLOOKUP($B39,MMWR_TRAD_AGG_STATE_COMP[],I$1,0),"ERROR")</f>
        <v>6168</v>
      </c>
      <c r="J39" s="115">
        <f t="shared" si="5"/>
        <v>0.63255050764024201</v>
      </c>
      <c r="K39" s="112">
        <f>IFERROR(VLOOKUP($B39,MMWR_TRAD_AGG_STATE_COMP[],K$1,0),"ERROR")</f>
        <v>664</v>
      </c>
      <c r="L39" s="113">
        <f>IFERROR(VLOOKUP($B39,MMWR_TRAD_AGG_STATE_COMP[],L$1,0),"ERROR")</f>
        <v>582</v>
      </c>
      <c r="M39" s="115">
        <f t="shared" si="6"/>
        <v>0.87650602409638556</v>
      </c>
      <c r="N39" s="112">
        <f>IFERROR(VLOOKUP($B39,MMWR_TRAD_AGG_STATE_COMP[],N$1,0),"ERROR")</f>
        <v>1141</v>
      </c>
      <c r="O39" s="113">
        <f>IFERROR(VLOOKUP($B39,MMWR_TRAD_AGG_STATE_COMP[],O$1,0),"ERROR")</f>
        <v>715</v>
      </c>
      <c r="P39" s="115">
        <f t="shared" si="7"/>
        <v>0.62664329535495178</v>
      </c>
      <c r="Q39" s="116">
        <f>IFERROR(VLOOKUP($B39,MMWR_TRAD_AGG_STATE_COMP[],Q$1,0),"ERROR")</f>
        <v>12</v>
      </c>
      <c r="R39" s="116">
        <f>IFERROR(VLOOKUP($B39,MMWR_TRAD_AGG_STATE_COMP[],R$1,0),"ERROR")</f>
        <v>309</v>
      </c>
      <c r="S39" s="116">
        <f>IFERROR(VLOOKUP($B39,MMWR_APP_STATE_COMP[],S$1,0),"ERROR")</f>
        <v>5920</v>
      </c>
      <c r="T39" s="28"/>
    </row>
    <row r="40" spans="1:20" s="124" customFormat="1" x14ac:dyDescent="0.2">
      <c r="A40" s="28"/>
      <c r="B40" s="128" t="s">
        <v>399</v>
      </c>
      <c r="C40" s="110">
        <f>IFERROR(VLOOKUP($B40,MMWR_TRAD_AGG_STATE_COMP[],C$1,0),"ERROR")</f>
        <v>5147</v>
      </c>
      <c r="D40" s="111">
        <f>IFERROR(VLOOKUP($B40,MMWR_TRAD_AGG_STATE_COMP[],D$1,0),"ERROR")</f>
        <v>361.38216436760001</v>
      </c>
      <c r="E40" s="112">
        <f>IFERROR(VLOOKUP($B40,MMWR_TRAD_AGG_STATE_COMP[],E$1,0),"ERROR")</f>
        <v>4603</v>
      </c>
      <c r="F40" s="113">
        <f>IFERROR(VLOOKUP($B40,MMWR_TRAD_AGG_STATE_COMP[],F$1,0),"ERROR")</f>
        <v>2035</v>
      </c>
      <c r="G40" s="114">
        <f t="shared" si="4"/>
        <v>0.44210297631979145</v>
      </c>
      <c r="H40" s="112">
        <f>IFERROR(VLOOKUP($B40,MMWR_TRAD_AGG_STATE_COMP[],H$1,0),"ERROR")</f>
        <v>6843</v>
      </c>
      <c r="I40" s="113">
        <f>IFERROR(VLOOKUP($B40,MMWR_TRAD_AGG_STATE_COMP[],I$1,0),"ERROR")</f>
        <v>4685</v>
      </c>
      <c r="J40" s="115">
        <f t="shared" si="5"/>
        <v>0.68464123922256326</v>
      </c>
      <c r="K40" s="112">
        <f>IFERROR(VLOOKUP($B40,MMWR_TRAD_AGG_STATE_COMP[],K$1,0),"ERROR")</f>
        <v>826</v>
      </c>
      <c r="L40" s="113">
        <f>IFERROR(VLOOKUP($B40,MMWR_TRAD_AGG_STATE_COMP[],L$1,0),"ERROR")</f>
        <v>671</v>
      </c>
      <c r="M40" s="115">
        <f t="shared" si="6"/>
        <v>0.81234866828087171</v>
      </c>
      <c r="N40" s="112">
        <f>IFERROR(VLOOKUP($B40,MMWR_TRAD_AGG_STATE_COMP[],N$1,0),"ERROR")</f>
        <v>2447</v>
      </c>
      <c r="O40" s="113">
        <f>IFERROR(VLOOKUP($B40,MMWR_TRAD_AGG_STATE_COMP[],O$1,0),"ERROR")</f>
        <v>1963</v>
      </c>
      <c r="P40" s="115">
        <f t="shared" si="7"/>
        <v>0.80220678381691868</v>
      </c>
      <c r="Q40" s="116">
        <f>IFERROR(VLOOKUP($B40,MMWR_TRAD_AGG_STATE_COMP[],Q$1,0),"ERROR")</f>
        <v>17</v>
      </c>
      <c r="R40" s="116">
        <f>IFERROR(VLOOKUP($B40,MMWR_TRAD_AGG_STATE_COMP[],R$1,0),"ERROR")</f>
        <v>142</v>
      </c>
      <c r="S40" s="116">
        <f>IFERROR(VLOOKUP($B40,MMWR_APP_STATE_COMP[],S$1,0),"ERROR")</f>
        <v>4555</v>
      </c>
      <c r="T40" s="28"/>
    </row>
    <row r="41" spans="1:20" s="124" customFormat="1" x14ac:dyDescent="0.2">
      <c r="A41" s="28"/>
      <c r="B41" s="128" t="s">
        <v>428</v>
      </c>
      <c r="C41" s="110">
        <f>IFERROR(VLOOKUP($B41,MMWR_TRAD_AGG_STATE_COMP[],C$1,0),"ERROR")</f>
        <v>1485</v>
      </c>
      <c r="D41" s="111">
        <f>IFERROR(VLOOKUP($B41,MMWR_TRAD_AGG_STATE_COMP[],D$1,0),"ERROR")</f>
        <v>189.6646464646</v>
      </c>
      <c r="E41" s="112">
        <f>IFERROR(VLOOKUP($B41,MMWR_TRAD_AGG_STATE_COMP[],E$1,0),"ERROR")</f>
        <v>1011</v>
      </c>
      <c r="F41" s="113">
        <f>IFERROR(VLOOKUP($B41,MMWR_TRAD_AGG_STATE_COMP[],F$1,0),"ERROR")</f>
        <v>189</v>
      </c>
      <c r="G41" s="114">
        <f t="shared" si="4"/>
        <v>0.18694362017804153</v>
      </c>
      <c r="H41" s="112">
        <f>IFERROR(VLOOKUP($B41,MMWR_TRAD_AGG_STATE_COMP[],H$1,0),"ERROR")</f>
        <v>1919</v>
      </c>
      <c r="I41" s="113">
        <f>IFERROR(VLOOKUP($B41,MMWR_TRAD_AGG_STATE_COMP[],I$1,0),"ERROR")</f>
        <v>781</v>
      </c>
      <c r="J41" s="115">
        <f t="shared" si="5"/>
        <v>0.40698280354351224</v>
      </c>
      <c r="K41" s="112">
        <f>IFERROR(VLOOKUP($B41,MMWR_TRAD_AGG_STATE_COMP[],K$1,0),"ERROR")</f>
        <v>364</v>
      </c>
      <c r="L41" s="113">
        <f>IFERROR(VLOOKUP($B41,MMWR_TRAD_AGG_STATE_COMP[],L$1,0),"ERROR")</f>
        <v>223</v>
      </c>
      <c r="M41" s="115">
        <f t="shared" si="6"/>
        <v>0.61263736263736268</v>
      </c>
      <c r="N41" s="112">
        <f>IFERROR(VLOOKUP($B41,MMWR_TRAD_AGG_STATE_COMP[],N$1,0),"ERROR")</f>
        <v>189</v>
      </c>
      <c r="O41" s="113">
        <f>IFERROR(VLOOKUP($B41,MMWR_TRAD_AGG_STATE_COMP[],O$1,0),"ERROR")</f>
        <v>87</v>
      </c>
      <c r="P41" s="115">
        <f t="shared" si="7"/>
        <v>0.46031746031746029</v>
      </c>
      <c r="Q41" s="116">
        <f>IFERROR(VLOOKUP($B41,MMWR_TRAD_AGG_STATE_COMP[],Q$1,0),"ERROR")</f>
        <v>1</v>
      </c>
      <c r="R41" s="116">
        <f>IFERROR(VLOOKUP($B41,MMWR_TRAD_AGG_STATE_COMP[],R$1,0),"ERROR")</f>
        <v>7</v>
      </c>
      <c r="S41" s="116">
        <f>IFERROR(VLOOKUP($B41,MMWR_APP_STATE_COMP[],S$1,0),"ERROR")</f>
        <v>384</v>
      </c>
      <c r="T41" s="28"/>
    </row>
    <row r="42" spans="1:20" s="124" customFormat="1" x14ac:dyDescent="0.2">
      <c r="A42" s="28"/>
      <c r="B42" s="128" t="s">
        <v>422</v>
      </c>
      <c r="C42" s="110">
        <f>IFERROR(VLOOKUP($B42,MMWR_TRAD_AGG_STATE_COMP[],C$1,0),"ERROR")</f>
        <v>6128</v>
      </c>
      <c r="D42" s="111">
        <f>IFERROR(VLOOKUP($B42,MMWR_TRAD_AGG_STATE_COMP[],D$1,0),"ERROR")</f>
        <v>243.06103133159999</v>
      </c>
      <c r="E42" s="112">
        <f>IFERROR(VLOOKUP($B42,MMWR_TRAD_AGG_STATE_COMP[],E$1,0),"ERROR")</f>
        <v>8172</v>
      </c>
      <c r="F42" s="113">
        <f>IFERROR(VLOOKUP($B42,MMWR_TRAD_AGG_STATE_COMP[],F$1,0),"ERROR")</f>
        <v>2306</v>
      </c>
      <c r="G42" s="114">
        <f t="shared" si="4"/>
        <v>0.2821830641213901</v>
      </c>
      <c r="H42" s="112">
        <f>IFERROR(VLOOKUP($B42,MMWR_TRAD_AGG_STATE_COMP[],H$1,0),"ERROR")</f>
        <v>8518</v>
      </c>
      <c r="I42" s="113">
        <f>IFERROR(VLOOKUP($B42,MMWR_TRAD_AGG_STATE_COMP[],I$1,0),"ERROR")</f>
        <v>3944</v>
      </c>
      <c r="J42" s="115">
        <f t="shared" si="5"/>
        <v>0.46301948814275651</v>
      </c>
      <c r="K42" s="112">
        <f>IFERROR(VLOOKUP($B42,MMWR_TRAD_AGG_STATE_COMP[],K$1,0),"ERROR")</f>
        <v>1253</v>
      </c>
      <c r="L42" s="113">
        <f>IFERROR(VLOOKUP($B42,MMWR_TRAD_AGG_STATE_COMP[],L$1,0),"ERROR")</f>
        <v>603</v>
      </c>
      <c r="M42" s="115">
        <f t="shared" si="6"/>
        <v>0.48124501197126895</v>
      </c>
      <c r="N42" s="112">
        <f>IFERROR(VLOOKUP($B42,MMWR_TRAD_AGG_STATE_COMP[],N$1,0),"ERROR")</f>
        <v>1111</v>
      </c>
      <c r="O42" s="113">
        <f>IFERROR(VLOOKUP($B42,MMWR_TRAD_AGG_STATE_COMP[],O$1,0),"ERROR")</f>
        <v>441</v>
      </c>
      <c r="P42" s="115">
        <f t="shared" si="7"/>
        <v>0.39693969396939693</v>
      </c>
      <c r="Q42" s="116">
        <f>IFERROR(VLOOKUP($B42,MMWR_TRAD_AGG_STATE_COMP[],Q$1,0),"ERROR")</f>
        <v>10</v>
      </c>
      <c r="R42" s="116">
        <f>IFERROR(VLOOKUP($B42,MMWR_TRAD_AGG_STATE_COMP[],R$1,0),"ERROR")</f>
        <v>73</v>
      </c>
      <c r="S42" s="116">
        <f>IFERROR(VLOOKUP($B42,MMWR_APP_STATE_COMP[],S$1,0),"ERROR")</f>
        <v>4178</v>
      </c>
      <c r="T42" s="28"/>
    </row>
    <row r="43" spans="1:20" s="124" customFormat="1" x14ac:dyDescent="0.2">
      <c r="A43" s="28"/>
      <c r="B43" s="128" t="s">
        <v>420</v>
      </c>
      <c r="C43" s="110">
        <f>IFERROR(VLOOKUP($B43,MMWR_TRAD_AGG_STATE_COMP[],C$1,0),"ERROR")</f>
        <v>32386</v>
      </c>
      <c r="D43" s="111">
        <f>IFERROR(VLOOKUP($B43,MMWR_TRAD_AGG_STATE_COMP[],D$1,0),"ERROR")</f>
        <v>331.89300932499998</v>
      </c>
      <c r="E43" s="112">
        <f>IFERROR(VLOOKUP($B43,MMWR_TRAD_AGG_STATE_COMP[],E$1,0),"ERROR")</f>
        <v>40355</v>
      </c>
      <c r="F43" s="113">
        <f>IFERROR(VLOOKUP($B43,MMWR_TRAD_AGG_STATE_COMP[],F$1,0),"ERROR")</f>
        <v>15163</v>
      </c>
      <c r="G43" s="114">
        <f t="shared" si="4"/>
        <v>0.37574030479494486</v>
      </c>
      <c r="H43" s="112">
        <f>IFERROR(VLOOKUP($B43,MMWR_TRAD_AGG_STATE_COMP[],H$1,0),"ERROR")</f>
        <v>44296</v>
      </c>
      <c r="I43" s="113">
        <f>IFERROR(VLOOKUP($B43,MMWR_TRAD_AGG_STATE_COMP[],I$1,0),"ERROR")</f>
        <v>27210</v>
      </c>
      <c r="J43" s="115">
        <f t="shared" si="5"/>
        <v>0.61427668412497738</v>
      </c>
      <c r="K43" s="112">
        <f>IFERROR(VLOOKUP($B43,MMWR_TRAD_AGG_STATE_COMP[],K$1,0),"ERROR")</f>
        <v>4083</v>
      </c>
      <c r="L43" s="113">
        <f>IFERROR(VLOOKUP($B43,MMWR_TRAD_AGG_STATE_COMP[],L$1,0),"ERROR")</f>
        <v>3173</v>
      </c>
      <c r="M43" s="115">
        <f t="shared" si="6"/>
        <v>0.77712466323781537</v>
      </c>
      <c r="N43" s="112">
        <f>IFERROR(VLOOKUP($B43,MMWR_TRAD_AGG_STATE_COMP[],N$1,0),"ERROR")</f>
        <v>10389</v>
      </c>
      <c r="O43" s="113">
        <f>IFERROR(VLOOKUP($B43,MMWR_TRAD_AGG_STATE_COMP[],O$1,0),"ERROR")</f>
        <v>6978</v>
      </c>
      <c r="P43" s="115">
        <f t="shared" si="7"/>
        <v>0.67167196072769275</v>
      </c>
      <c r="Q43" s="116">
        <f>IFERROR(VLOOKUP($B43,MMWR_TRAD_AGG_STATE_COMP[],Q$1,0),"ERROR")</f>
        <v>19</v>
      </c>
      <c r="R43" s="116">
        <f>IFERROR(VLOOKUP($B43,MMWR_TRAD_AGG_STATE_COMP[],R$1,0),"ERROR")</f>
        <v>441</v>
      </c>
      <c r="S43" s="116">
        <f>IFERROR(VLOOKUP($B43,MMWR_APP_STATE_COMP[],S$1,0),"ERROR")</f>
        <v>38888</v>
      </c>
      <c r="T43" s="28"/>
    </row>
    <row r="44" spans="1:20" s="124" customFormat="1" x14ac:dyDescent="0.2">
      <c r="A44" s="28"/>
      <c r="B44" s="128" t="s">
        <v>416</v>
      </c>
      <c r="C44" s="110">
        <f>IFERROR(VLOOKUP($B44,MMWR_TRAD_AGG_STATE_COMP[],C$1,0),"ERROR")</f>
        <v>2902</v>
      </c>
      <c r="D44" s="111">
        <f>IFERROR(VLOOKUP($B44,MMWR_TRAD_AGG_STATE_COMP[],D$1,0),"ERROR")</f>
        <v>277.85837353549999</v>
      </c>
      <c r="E44" s="112">
        <f>IFERROR(VLOOKUP($B44,MMWR_TRAD_AGG_STATE_COMP[],E$1,0),"ERROR")</f>
        <v>1948</v>
      </c>
      <c r="F44" s="113">
        <f>IFERROR(VLOOKUP($B44,MMWR_TRAD_AGG_STATE_COMP[],F$1,0),"ERROR")</f>
        <v>534</v>
      </c>
      <c r="G44" s="114">
        <f t="shared" si="4"/>
        <v>0.27412731006160163</v>
      </c>
      <c r="H44" s="112">
        <f>IFERROR(VLOOKUP($B44,MMWR_TRAD_AGG_STATE_COMP[],H$1,0),"ERROR")</f>
        <v>4130</v>
      </c>
      <c r="I44" s="113">
        <f>IFERROR(VLOOKUP($B44,MMWR_TRAD_AGG_STATE_COMP[],I$1,0),"ERROR")</f>
        <v>2105</v>
      </c>
      <c r="J44" s="115">
        <f t="shared" si="5"/>
        <v>0.50968523002421307</v>
      </c>
      <c r="K44" s="112">
        <f>IFERROR(VLOOKUP($B44,MMWR_TRAD_AGG_STATE_COMP[],K$1,0),"ERROR")</f>
        <v>583</v>
      </c>
      <c r="L44" s="113">
        <f>IFERROR(VLOOKUP($B44,MMWR_TRAD_AGG_STATE_COMP[],L$1,0),"ERROR")</f>
        <v>406</v>
      </c>
      <c r="M44" s="115">
        <f t="shared" si="6"/>
        <v>0.69639794168096059</v>
      </c>
      <c r="N44" s="112">
        <f>IFERROR(VLOOKUP($B44,MMWR_TRAD_AGG_STATE_COMP[],N$1,0),"ERROR")</f>
        <v>231</v>
      </c>
      <c r="O44" s="113">
        <f>IFERROR(VLOOKUP($B44,MMWR_TRAD_AGG_STATE_COMP[],O$1,0),"ERROR")</f>
        <v>134</v>
      </c>
      <c r="P44" s="115">
        <f t="shared" si="7"/>
        <v>0.58008658008658009</v>
      </c>
      <c r="Q44" s="116">
        <f>IFERROR(VLOOKUP($B44,MMWR_TRAD_AGG_STATE_COMP[],Q$1,0),"ERROR")</f>
        <v>0</v>
      </c>
      <c r="R44" s="116">
        <f>IFERROR(VLOOKUP($B44,MMWR_TRAD_AGG_STATE_COMP[],R$1,0),"ERROR")</f>
        <v>4</v>
      </c>
      <c r="S44" s="116">
        <f>IFERROR(VLOOKUP($B44,MMWR_APP_STATE_COMP[],S$1,0),"ERROR")</f>
        <v>573</v>
      </c>
      <c r="T44" s="28"/>
    </row>
    <row r="45" spans="1:20" s="124" customFormat="1" x14ac:dyDescent="0.2">
      <c r="A45" s="28"/>
      <c r="B45" s="128" t="s">
        <v>431</v>
      </c>
      <c r="C45" s="110">
        <f>IFERROR(VLOOKUP($B45,MMWR_TRAD_AGG_STATE_COMP[],C$1,0),"ERROR")</f>
        <v>663</v>
      </c>
      <c r="D45" s="111">
        <f>IFERROR(VLOOKUP($B45,MMWR_TRAD_AGG_STATE_COMP[],D$1,0),"ERROR")</f>
        <v>284.57315233790001</v>
      </c>
      <c r="E45" s="112">
        <f>IFERROR(VLOOKUP($B45,MMWR_TRAD_AGG_STATE_COMP[],E$1,0),"ERROR")</f>
        <v>966</v>
      </c>
      <c r="F45" s="113">
        <f>IFERROR(VLOOKUP($B45,MMWR_TRAD_AGG_STATE_COMP[],F$1,0),"ERROR")</f>
        <v>230</v>
      </c>
      <c r="G45" s="114">
        <f t="shared" si="4"/>
        <v>0.23809523809523808</v>
      </c>
      <c r="H45" s="112">
        <f>IFERROR(VLOOKUP($B45,MMWR_TRAD_AGG_STATE_COMP[],H$1,0),"ERROR")</f>
        <v>1049</v>
      </c>
      <c r="I45" s="113">
        <f>IFERROR(VLOOKUP($B45,MMWR_TRAD_AGG_STATE_COMP[],I$1,0),"ERROR")</f>
        <v>515</v>
      </c>
      <c r="J45" s="115">
        <f t="shared" si="5"/>
        <v>0.49094375595805528</v>
      </c>
      <c r="K45" s="112">
        <f>IFERROR(VLOOKUP($B45,MMWR_TRAD_AGG_STATE_COMP[],K$1,0),"ERROR")</f>
        <v>176</v>
      </c>
      <c r="L45" s="113">
        <f>IFERROR(VLOOKUP($B45,MMWR_TRAD_AGG_STATE_COMP[],L$1,0),"ERROR")</f>
        <v>131</v>
      </c>
      <c r="M45" s="115">
        <f t="shared" si="6"/>
        <v>0.74431818181818177</v>
      </c>
      <c r="N45" s="112">
        <f>IFERROR(VLOOKUP($B45,MMWR_TRAD_AGG_STATE_COMP[],N$1,0),"ERROR")</f>
        <v>178</v>
      </c>
      <c r="O45" s="113">
        <f>IFERROR(VLOOKUP($B45,MMWR_TRAD_AGG_STATE_COMP[],O$1,0),"ERROR")</f>
        <v>103</v>
      </c>
      <c r="P45" s="115">
        <f t="shared" si="7"/>
        <v>0.5786516853932584</v>
      </c>
      <c r="Q45" s="116">
        <f>IFERROR(VLOOKUP($B45,MMWR_TRAD_AGG_STATE_COMP[],Q$1,0),"ERROR")</f>
        <v>25</v>
      </c>
      <c r="R45" s="116">
        <f>IFERROR(VLOOKUP($B45,MMWR_TRAD_AGG_STATE_COMP[],R$1,0),"ERROR")</f>
        <v>7</v>
      </c>
      <c r="S45" s="116">
        <f>IFERROR(VLOOKUP($B45,MMWR_APP_STATE_COMP[],S$1,0),"ERROR")</f>
        <v>359</v>
      </c>
      <c r="T45" s="28"/>
    </row>
    <row r="46" spans="1:20" s="124" customFormat="1" x14ac:dyDescent="0.2">
      <c r="A46" s="28"/>
      <c r="B46" s="127" t="s">
        <v>414</v>
      </c>
      <c r="C46" s="103">
        <f>IFERROR(VLOOKUP($B46,MMWR_TRAD_AGG_ST_DISTRICT_COMP[],C$1,0),"ERROR")</f>
        <v>77033</v>
      </c>
      <c r="D46" s="104">
        <f>IFERROR(VLOOKUP($B46,MMWR_TRAD_AGG_ST_DISTRICT_COMP[],D$1,0),"ERROR")</f>
        <v>370.49825399500003</v>
      </c>
      <c r="E46" s="103">
        <f>IFERROR(VLOOKUP($B46,MMWR_TRAD_AGG_ST_DISTRICT_COMP[],E$1,0),"ERROR")</f>
        <v>70133</v>
      </c>
      <c r="F46" s="103">
        <f>IFERROR(VLOOKUP($B46,MMWR_TRAD_AGG_ST_DISTRICT_COMP[],F$1,0),"ERROR")</f>
        <v>23987</v>
      </c>
      <c r="G46" s="105">
        <f t="shared" si="4"/>
        <v>0.34202158755507395</v>
      </c>
      <c r="H46" s="103">
        <f>IFERROR(VLOOKUP($B46,MMWR_TRAD_AGG_ST_DISTRICT_COMP[],H$1,0),"ERROR")</f>
        <v>103234</v>
      </c>
      <c r="I46" s="103">
        <f>IFERROR(VLOOKUP($B46,MMWR_TRAD_AGG_ST_DISTRICT_COMP[],I$1,0),"ERROR")</f>
        <v>68484</v>
      </c>
      <c r="J46" s="106">
        <f t="shared" si="5"/>
        <v>0.6633860937288103</v>
      </c>
      <c r="K46" s="103">
        <f>IFERROR(VLOOKUP($B46,MMWR_TRAD_AGG_ST_DISTRICT_COMP[],K$1,0),"ERROR")</f>
        <v>15666</v>
      </c>
      <c r="L46" s="103">
        <f>IFERROR(VLOOKUP($B46,MMWR_TRAD_AGG_ST_DISTRICT_COMP[],L$1,0),"ERROR")</f>
        <v>13337</v>
      </c>
      <c r="M46" s="106">
        <f t="shared" si="6"/>
        <v>0.85133409932337545</v>
      </c>
      <c r="N46" s="103">
        <f>IFERROR(VLOOKUP($B46,MMWR_TRAD_AGG_ST_DISTRICT_COMP[],N$1,0),"ERROR")</f>
        <v>29019</v>
      </c>
      <c r="O46" s="103">
        <f>IFERROR(VLOOKUP($B46,MMWR_TRAD_AGG_ST_DISTRICT_COMP[],O$1,0),"ERROR")</f>
        <v>21707</v>
      </c>
      <c r="P46" s="106">
        <f t="shared" si="7"/>
        <v>0.74802715462283331</v>
      </c>
      <c r="Q46" s="103">
        <f>IFERROR(VLOOKUP($B46,MMWR_TRAD_AGG_ST_DISTRICT_COMP[],Q$1,0),"ERROR")</f>
        <v>78</v>
      </c>
      <c r="R46" s="107">
        <f>IFERROR(VLOOKUP($B46,MMWR_TRAD_AGG_ST_DISTRICT_COMP[],R$1,0),"ERROR")</f>
        <v>596</v>
      </c>
      <c r="S46" s="107">
        <f>SUM(S47:S55)</f>
        <v>41392</v>
      </c>
      <c r="T46" s="28"/>
    </row>
    <row r="47" spans="1:20" s="124" customFormat="1" x14ac:dyDescent="0.2">
      <c r="A47" s="28"/>
      <c r="B47" s="128" t="s">
        <v>434</v>
      </c>
      <c r="C47" s="110">
        <f>IFERROR(VLOOKUP($B47,MMWR_TRAD_AGG_STATE_COMP[],C$1,0),"ERROR")</f>
        <v>2454</v>
      </c>
      <c r="D47" s="111">
        <f>IFERROR(VLOOKUP($B47,MMWR_TRAD_AGG_STATE_COMP[],D$1,0),"ERROR")</f>
        <v>493.19111654440002</v>
      </c>
      <c r="E47" s="112">
        <f>IFERROR(VLOOKUP($B47,MMWR_TRAD_AGG_STATE_COMP[],E$1,0),"ERROR")</f>
        <v>1039</v>
      </c>
      <c r="F47" s="113">
        <f>IFERROR(VLOOKUP($B47,MMWR_TRAD_AGG_STATE_COMP[],F$1,0),"ERROR")</f>
        <v>190</v>
      </c>
      <c r="G47" s="114">
        <f t="shared" si="4"/>
        <v>0.18286814244465832</v>
      </c>
      <c r="H47" s="112">
        <f>IFERROR(VLOOKUP($B47,MMWR_TRAD_AGG_STATE_COMP[],H$1,0),"ERROR")</f>
        <v>3060</v>
      </c>
      <c r="I47" s="113">
        <f>IFERROR(VLOOKUP($B47,MMWR_TRAD_AGG_STATE_COMP[],I$1,0),"ERROR")</f>
        <v>2238</v>
      </c>
      <c r="J47" s="115">
        <f t="shared" si="5"/>
        <v>0.7313725490196078</v>
      </c>
      <c r="K47" s="112">
        <f>IFERROR(VLOOKUP($B47,MMWR_TRAD_AGG_STATE_COMP[],K$1,0),"ERROR")</f>
        <v>1563</v>
      </c>
      <c r="L47" s="113">
        <f>IFERROR(VLOOKUP($B47,MMWR_TRAD_AGG_STATE_COMP[],L$1,0),"ERROR")</f>
        <v>1410</v>
      </c>
      <c r="M47" s="115">
        <f t="shared" si="6"/>
        <v>0.90211132437619956</v>
      </c>
      <c r="N47" s="112">
        <f>IFERROR(VLOOKUP($B47,MMWR_TRAD_AGG_STATE_COMP[],N$1,0),"ERROR")</f>
        <v>280</v>
      </c>
      <c r="O47" s="113">
        <f>IFERROR(VLOOKUP($B47,MMWR_TRAD_AGG_STATE_COMP[],O$1,0),"ERROR")</f>
        <v>184</v>
      </c>
      <c r="P47" s="115">
        <f t="shared" si="7"/>
        <v>0.65714285714285714</v>
      </c>
      <c r="Q47" s="116">
        <f>IFERROR(VLOOKUP($B47,MMWR_TRAD_AGG_STATE_COMP[],Q$1,0),"ERROR")</f>
        <v>0</v>
      </c>
      <c r="R47" s="116">
        <f>IFERROR(VLOOKUP($B47,MMWR_TRAD_AGG_STATE_COMP[],R$1,0),"ERROR")</f>
        <v>3</v>
      </c>
      <c r="S47" s="116">
        <f>IFERROR(VLOOKUP($B47,MMWR_APP_STATE_COMP[],S$1,0),"ERROR")</f>
        <v>378</v>
      </c>
      <c r="T47" s="28"/>
    </row>
    <row r="48" spans="1:20" s="124" customFormat="1" x14ac:dyDescent="0.2">
      <c r="A48" s="28"/>
      <c r="B48" s="128" t="s">
        <v>436</v>
      </c>
      <c r="C48" s="110">
        <f>IFERROR(VLOOKUP($B48,MMWR_TRAD_AGG_STATE_COMP[],C$1,0),"ERROR")</f>
        <v>8497</v>
      </c>
      <c r="D48" s="111">
        <f>IFERROR(VLOOKUP($B48,MMWR_TRAD_AGG_STATE_COMP[],D$1,0),"ERROR")</f>
        <v>301.98834882900002</v>
      </c>
      <c r="E48" s="112">
        <f>IFERROR(VLOOKUP($B48,MMWR_TRAD_AGG_STATE_COMP[],E$1,0),"ERROR")</f>
        <v>6817</v>
      </c>
      <c r="F48" s="113">
        <f>IFERROR(VLOOKUP($B48,MMWR_TRAD_AGG_STATE_COMP[],F$1,0),"ERROR")</f>
        <v>1978</v>
      </c>
      <c r="G48" s="114">
        <f t="shared" si="4"/>
        <v>0.29015696053982692</v>
      </c>
      <c r="H48" s="112">
        <f>IFERROR(VLOOKUP($B48,MMWR_TRAD_AGG_STATE_COMP[],H$1,0),"ERROR")</f>
        <v>10527</v>
      </c>
      <c r="I48" s="113">
        <f>IFERROR(VLOOKUP($B48,MMWR_TRAD_AGG_STATE_COMP[],I$1,0),"ERROR")</f>
        <v>6445</v>
      </c>
      <c r="J48" s="115">
        <f t="shared" si="5"/>
        <v>0.61223520471169379</v>
      </c>
      <c r="K48" s="112">
        <f>IFERROR(VLOOKUP($B48,MMWR_TRAD_AGG_STATE_COMP[],K$1,0),"ERROR")</f>
        <v>579</v>
      </c>
      <c r="L48" s="113">
        <f>IFERROR(VLOOKUP($B48,MMWR_TRAD_AGG_STATE_COMP[],L$1,0),"ERROR")</f>
        <v>472</v>
      </c>
      <c r="M48" s="115">
        <f t="shared" si="6"/>
        <v>0.81519861830742657</v>
      </c>
      <c r="N48" s="112">
        <f>IFERROR(VLOOKUP($B48,MMWR_TRAD_AGG_STATE_COMP[],N$1,0),"ERROR")</f>
        <v>3378</v>
      </c>
      <c r="O48" s="113">
        <f>IFERROR(VLOOKUP($B48,MMWR_TRAD_AGG_STATE_COMP[],O$1,0),"ERROR")</f>
        <v>2677</v>
      </c>
      <c r="P48" s="115">
        <f t="shared" si="7"/>
        <v>0.79248075784487859</v>
      </c>
      <c r="Q48" s="116">
        <f>IFERROR(VLOOKUP($B48,MMWR_TRAD_AGG_STATE_COMP[],Q$1,0),"ERROR")</f>
        <v>4</v>
      </c>
      <c r="R48" s="116">
        <f>IFERROR(VLOOKUP($B48,MMWR_TRAD_AGG_STATE_COMP[],R$1,0),"ERROR")</f>
        <v>73</v>
      </c>
      <c r="S48" s="116">
        <f>IFERROR(VLOOKUP($B48,MMWR_APP_STATE_COMP[],S$1,0),"ERROR")</f>
        <v>6899</v>
      </c>
      <c r="T48" s="28"/>
    </row>
    <row r="49" spans="1:20" s="124" customFormat="1" x14ac:dyDescent="0.2">
      <c r="A49" s="28"/>
      <c r="B49" s="128" t="s">
        <v>417</v>
      </c>
      <c r="C49" s="110">
        <f>IFERROR(VLOOKUP($B49,MMWR_TRAD_AGG_STATE_COMP[],C$1,0),"ERROR")</f>
        <v>31414</v>
      </c>
      <c r="D49" s="111">
        <f>IFERROR(VLOOKUP($B49,MMWR_TRAD_AGG_STATE_COMP[],D$1,0),"ERROR")</f>
        <v>365.98055007319999</v>
      </c>
      <c r="E49" s="112">
        <f>IFERROR(VLOOKUP($B49,MMWR_TRAD_AGG_STATE_COMP[],E$1,0),"ERROR")</f>
        <v>35371</v>
      </c>
      <c r="F49" s="113">
        <f>IFERROR(VLOOKUP($B49,MMWR_TRAD_AGG_STATE_COMP[],F$1,0),"ERROR")</f>
        <v>12231</v>
      </c>
      <c r="G49" s="114">
        <f t="shared" si="4"/>
        <v>0.34579175030392129</v>
      </c>
      <c r="H49" s="112">
        <f>IFERROR(VLOOKUP($B49,MMWR_TRAD_AGG_STATE_COMP[],H$1,0),"ERROR")</f>
        <v>43826</v>
      </c>
      <c r="I49" s="113">
        <f>IFERROR(VLOOKUP($B49,MMWR_TRAD_AGG_STATE_COMP[],I$1,0),"ERROR")</f>
        <v>28839</v>
      </c>
      <c r="J49" s="115">
        <f t="shared" si="5"/>
        <v>0.65803404371834073</v>
      </c>
      <c r="K49" s="112">
        <f>IFERROR(VLOOKUP($B49,MMWR_TRAD_AGG_STATE_COMP[],K$1,0),"ERROR")</f>
        <v>4748</v>
      </c>
      <c r="L49" s="113">
        <f>IFERROR(VLOOKUP($B49,MMWR_TRAD_AGG_STATE_COMP[],L$1,0),"ERROR")</f>
        <v>3864</v>
      </c>
      <c r="M49" s="115">
        <f t="shared" si="6"/>
        <v>0.81381634372367317</v>
      </c>
      <c r="N49" s="112">
        <f>IFERROR(VLOOKUP($B49,MMWR_TRAD_AGG_STATE_COMP[],N$1,0),"ERROR")</f>
        <v>14280</v>
      </c>
      <c r="O49" s="113">
        <f>IFERROR(VLOOKUP($B49,MMWR_TRAD_AGG_STATE_COMP[],O$1,0),"ERROR")</f>
        <v>10845</v>
      </c>
      <c r="P49" s="115">
        <f t="shared" si="7"/>
        <v>0.75945378151260501</v>
      </c>
      <c r="Q49" s="116">
        <f>IFERROR(VLOOKUP($B49,MMWR_TRAD_AGG_STATE_COMP[],Q$1,0),"ERROR")</f>
        <v>45</v>
      </c>
      <c r="R49" s="116">
        <f>IFERROR(VLOOKUP($B49,MMWR_TRAD_AGG_STATE_COMP[],R$1,0),"ERROR")</f>
        <v>165</v>
      </c>
      <c r="S49" s="116">
        <f>IFERROR(VLOOKUP($B49,MMWR_APP_STATE_COMP[],S$1,0),"ERROR")</f>
        <v>17696</v>
      </c>
      <c r="T49" s="28"/>
    </row>
    <row r="50" spans="1:20" s="124" customFormat="1" x14ac:dyDescent="0.2">
      <c r="A50" s="28"/>
      <c r="B50" s="128" t="s">
        <v>438</v>
      </c>
      <c r="C50" s="110">
        <f>IFERROR(VLOOKUP($B50,MMWR_TRAD_AGG_STATE_COMP[],C$1,0),"ERROR")</f>
        <v>1886</v>
      </c>
      <c r="D50" s="111">
        <f>IFERROR(VLOOKUP($B50,MMWR_TRAD_AGG_STATE_COMP[],D$1,0),"ERROR")</f>
        <v>272.68769883350001</v>
      </c>
      <c r="E50" s="112">
        <f>IFERROR(VLOOKUP($B50,MMWR_TRAD_AGG_STATE_COMP[],E$1,0),"ERROR")</f>
        <v>2227</v>
      </c>
      <c r="F50" s="113">
        <f>IFERROR(VLOOKUP($B50,MMWR_TRAD_AGG_STATE_COMP[],F$1,0),"ERROR")</f>
        <v>765</v>
      </c>
      <c r="G50" s="114">
        <f t="shared" si="4"/>
        <v>0.34351145038167941</v>
      </c>
      <c r="H50" s="112">
        <f>IFERROR(VLOOKUP($B50,MMWR_TRAD_AGG_STATE_COMP[],H$1,0),"ERROR")</f>
        <v>2452</v>
      </c>
      <c r="I50" s="113">
        <f>IFERROR(VLOOKUP($B50,MMWR_TRAD_AGG_STATE_COMP[],I$1,0),"ERROR")</f>
        <v>1425</v>
      </c>
      <c r="J50" s="115">
        <f t="shared" si="5"/>
        <v>0.58115823817292012</v>
      </c>
      <c r="K50" s="112">
        <f>IFERROR(VLOOKUP($B50,MMWR_TRAD_AGG_STATE_COMP[],K$1,0),"ERROR")</f>
        <v>392</v>
      </c>
      <c r="L50" s="113">
        <f>IFERROR(VLOOKUP($B50,MMWR_TRAD_AGG_STATE_COMP[],L$1,0),"ERROR")</f>
        <v>352</v>
      </c>
      <c r="M50" s="115">
        <f t="shared" si="6"/>
        <v>0.89795918367346939</v>
      </c>
      <c r="N50" s="112">
        <f>IFERROR(VLOOKUP($B50,MMWR_TRAD_AGG_STATE_COMP[],N$1,0),"ERROR")</f>
        <v>524</v>
      </c>
      <c r="O50" s="113">
        <f>IFERROR(VLOOKUP($B50,MMWR_TRAD_AGG_STATE_COMP[],O$1,0),"ERROR")</f>
        <v>352</v>
      </c>
      <c r="P50" s="115">
        <f t="shared" si="7"/>
        <v>0.6717557251908397</v>
      </c>
      <c r="Q50" s="116">
        <f>IFERROR(VLOOKUP($B50,MMWR_TRAD_AGG_STATE_COMP[],Q$1,0),"ERROR")</f>
        <v>6</v>
      </c>
      <c r="R50" s="116">
        <f>IFERROR(VLOOKUP($B50,MMWR_TRAD_AGG_STATE_COMP[],R$1,0),"ERROR")</f>
        <v>3</v>
      </c>
      <c r="S50" s="116">
        <f>IFERROR(VLOOKUP($B50,MMWR_APP_STATE_COMP[],S$1,0),"ERROR")</f>
        <v>976</v>
      </c>
      <c r="T50" s="28"/>
    </row>
    <row r="51" spans="1:20" s="124" customFormat="1" x14ac:dyDescent="0.2">
      <c r="A51" s="28"/>
      <c r="B51" s="128" t="s">
        <v>418</v>
      </c>
      <c r="C51" s="110">
        <f>IFERROR(VLOOKUP($B51,MMWR_TRAD_AGG_STATE_COMP[],C$1,0),"ERROR")</f>
        <v>1058</v>
      </c>
      <c r="D51" s="111">
        <f>IFERROR(VLOOKUP($B51,MMWR_TRAD_AGG_STATE_COMP[],D$1,0),"ERROR")</f>
        <v>244.2807183365</v>
      </c>
      <c r="E51" s="112">
        <f>IFERROR(VLOOKUP($B51,MMWR_TRAD_AGG_STATE_COMP[],E$1,0),"ERROR")</f>
        <v>1732</v>
      </c>
      <c r="F51" s="113">
        <f>IFERROR(VLOOKUP($B51,MMWR_TRAD_AGG_STATE_COMP[],F$1,0),"ERROR")</f>
        <v>490</v>
      </c>
      <c r="G51" s="114">
        <f t="shared" si="4"/>
        <v>0.28290993071593534</v>
      </c>
      <c r="H51" s="112">
        <f>IFERROR(VLOOKUP($B51,MMWR_TRAD_AGG_STATE_COMP[],H$1,0),"ERROR")</f>
        <v>1646</v>
      </c>
      <c r="I51" s="113">
        <f>IFERROR(VLOOKUP($B51,MMWR_TRAD_AGG_STATE_COMP[],I$1,0),"ERROR")</f>
        <v>702</v>
      </c>
      <c r="J51" s="115">
        <f t="shared" si="5"/>
        <v>0.4264884568651276</v>
      </c>
      <c r="K51" s="112">
        <f>IFERROR(VLOOKUP($B51,MMWR_TRAD_AGG_STATE_COMP[],K$1,0),"ERROR")</f>
        <v>242</v>
      </c>
      <c r="L51" s="113">
        <f>IFERROR(VLOOKUP($B51,MMWR_TRAD_AGG_STATE_COMP[],L$1,0),"ERROR")</f>
        <v>164</v>
      </c>
      <c r="M51" s="115">
        <f t="shared" si="6"/>
        <v>0.6776859504132231</v>
      </c>
      <c r="N51" s="112">
        <f>IFERROR(VLOOKUP($B51,MMWR_TRAD_AGG_STATE_COMP[],N$1,0),"ERROR")</f>
        <v>260</v>
      </c>
      <c r="O51" s="113">
        <f>IFERROR(VLOOKUP($B51,MMWR_TRAD_AGG_STATE_COMP[],O$1,0),"ERROR")</f>
        <v>144</v>
      </c>
      <c r="P51" s="115">
        <f t="shared" si="7"/>
        <v>0.55384615384615388</v>
      </c>
      <c r="Q51" s="116">
        <f>IFERROR(VLOOKUP($B51,MMWR_TRAD_AGG_STATE_COMP[],Q$1,0),"ERROR")</f>
        <v>1</v>
      </c>
      <c r="R51" s="116">
        <f>IFERROR(VLOOKUP($B51,MMWR_TRAD_AGG_STATE_COMP[],R$1,0),"ERROR")</f>
        <v>12</v>
      </c>
      <c r="S51" s="116">
        <f>IFERROR(VLOOKUP($B51,MMWR_APP_STATE_COMP[],S$1,0),"ERROR")</f>
        <v>1070</v>
      </c>
      <c r="T51" s="28"/>
    </row>
    <row r="52" spans="1:20" s="124" customFormat="1" x14ac:dyDescent="0.2">
      <c r="A52" s="28"/>
      <c r="B52" s="128" t="s">
        <v>423</v>
      </c>
      <c r="C52" s="110">
        <f>IFERROR(VLOOKUP($B52,MMWR_TRAD_AGG_STATE_COMP[],C$1,0),"ERROR")</f>
        <v>4415</v>
      </c>
      <c r="D52" s="111">
        <f>IFERROR(VLOOKUP($B52,MMWR_TRAD_AGG_STATE_COMP[],D$1,0),"ERROR")</f>
        <v>440.8761041903</v>
      </c>
      <c r="E52" s="112">
        <f>IFERROR(VLOOKUP($B52,MMWR_TRAD_AGG_STATE_COMP[],E$1,0),"ERROR")</f>
        <v>4324</v>
      </c>
      <c r="F52" s="113">
        <f>IFERROR(VLOOKUP($B52,MMWR_TRAD_AGG_STATE_COMP[],F$1,0),"ERROR")</f>
        <v>1639</v>
      </c>
      <c r="G52" s="114">
        <f t="shared" si="4"/>
        <v>0.37904717853839037</v>
      </c>
      <c r="H52" s="112">
        <f>IFERROR(VLOOKUP($B52,MMWR_TRAD_AGG_STATE_COMP[],H$1,0),"ERROR")</f>
        <v>5698</v>
      </c>
      <c r="I52" s="113">
        <f>IFERROR(VLOOKUP($B52,MMWR_TRAD_AGG_STATE_COMP[],I$1,0),"ERROR")</f>
        <v>4039</v>
      </c>
      <c r="J52" s="115">
        <f t="shared" si="5"/>
        <v>0.70884520884520885</v>
      </c>
      <c r="K52" s="112">
        <f>IFERROR(VLOOKUP($B52,MMWR_TRAD_AGG_STATE_COMP[],K$1,0),"ERROR")</f>
        <v>479</v>
      </c>
      <c r="L52" s="113">
        <f>IFERROR(VLOOKUP($B52,MMWR_TRAD_AGG_STATE_COMP[],L$1,0),"ERROR")</f>
        <v>431</v>
      </c>
      <c r="M52" s="115">
        <f t="shared" si="6"/>
        <v>0.89979123173277664</v>
      </c>
      <c r="N52" s="112">
        <f>IFERROR(VLOOKUP($B52,MMWR_TRAD_AGG_STATE_COMP[],N$1,0),"ERROR")</f>
        <v>1444</v>
      </c>
      <c r="O52" s="113">
        <f>IFERROR(VLOOKUP($B52,MMWR_TRAD_AGG_STATE_COMP[],O$1,0),"ERROR")</f>
        <v>990</v>
      </c>
      <c r="P52" s="115">
        <f t="shared" si="7"/>
        <v>0.68559556786703602</v>
      </c>
      <c r="Q52" s="116">
        <f>IFERROR(VLOOKUP($B52,MMWR_TRAD_AGG_STATE_COMP[],Q$1,0),"ERROR")</f>
        <v>8</v>
      </c>
      <c r="R52" s="116">
        <f>IFERROR(VLOOKUP($B52,MMWR_TRAD_AGG_STATE_COMP[],R$1,0),"ERROR")</f>
        <v>104</v>
      </c>
      <c r="S52" s="116">
        <f>IFERROR(VLOOKUP($B52,MMWR_APP_STATE_COMP[],S$1,0),"ERROR")</f>
        <v>2578</v>
      </c>
      <c r="T52" s="28"/>
    </row>
    <row r="53" spans="1:20" s="124" customFormat="1" x14ac:dyDescent="0.2">
      <c r="A53" s="28"/>
      <c r="B53" s="128" t="s">
        <v>415</v>
      </c>
      <c r="C53" s="110">
        <f>IFERROR(VLOOKUP($B53,MMWR_TRAD_AGG_STATE_COMP[],C$1,0),"ERROR")</f>
        <v>1962</v>
      </c>
      <c r="D53" s="111">
        <f>IFERROR(VLOOKUP($B53,MMWR_TRAD_AGG_STATE_COMP[],D$1,0),"ERROR")</f>
        <v>226.7054026504</v>
      </c>
      <c r="E53" s="112">
        <f>IFERROR(VLOOKUP($B53,MMWR_TRAD_AGG_STATE_COMP[],E$1,0),"ERROR")</f>
        <v>3426</v>
      </c>
      <c r="F53" s="113">
        <f>IFERROR(VLOOKUP($B53,MMWR_TRAD_AGG_STATE_COMP[],F$1,0),"ERROR")</f>
        <v>1225</v>
      </c>
      <c r="G53" s="114">
        <f t="shared" si="4"/>
        <v>0.35755983654407475</v>
      </c>
      <c r="H53" s="112">
        <f>IFERROR(VLOOKUP($B53,MMWR_TRAD_AGG_STATE_COMP[],H$1,0),"ERROR")</f>
        <v>2777</v>
      </c>
      <c r="I53" s="113">
        <f>IFERROR(VLOOKUP($B53,MMWR_TRAD_AGG_STATE_COMP[],I$1,0),"ERROR")</f>
        <v>1379</v>
      </c>
      <c r="J53" s="115">
        <f t="shared" si="5"/>
        <v>0.49657904213179688</v>
      </c>
      <c r="K53" s="112">
        <f>IFERROR(VLOOKUP($B53,MMWR_TRAD_AGG_STATE_COMP[],K$1,0),"ERROR")</f>
        <v>230</v>
      </c>
      <c r="L53" s="113">
        <f>IFERROR(VLOOKUP($B53,MMWR_TRAD_AGG_STATE_COMP[],L$1,0),"ERROR")</f>
        <v>160</v>
      </c>
      <c r="M53" s="115">
        <f t="shared" si="6"/>
        <v>0.69565217391304346</v>
      </c>
      <c r="N53" s="112">
        <f>IFERROR(VLOOKUP($B53,MMWR_TRAD_AGG_STATE_COMP[],N$1,0),"ERROR")</f>
        <v>602</v>
      </c>
      <c r="O53" s="113">
        <f>IFERROR(VLOOKUP($B53,MMWR_TRAD_AGG_STATE_COMP[],O$1,0),"ERROR")</f>
        <v>314</v>
      </c>
      <c r="P53" s="115">
        <f t="shared" si="7"/>
        <v>0.52159468438538203</v>
      </c>
      <c r="Q53" s="116">
        <f>IFERROR(VLOOKUP($B53,MMWR_TRAD_AGG_STATE_COMP[],Q$1,0),"ERROR")</f>
        <v>3</v>
      </c>
      <c r="R53" s="116">
        <f>IFERROR(VLOOKUP($B53,MMWR_TRAD_AGG_STATE_COMP[],R$1,0),"ERROR")</f>
        <v>18</v>
      </c>
      <c r="S53" s="116">
        <f>IFERROR(VLOOKUP($B53,MMWR_APP_STATE_COMP[],S$1,0),"ERROR")</f>
        <v>1945</v>
      </c>
      <c r="T53" s="28"/>
    </row>
    <row r="54" spans="1:20" s="124" customFormat="1" x14ac:dyDescent="0.2">
      <c r="A54" s="28"/>
      <c r="B54" s="128" t="s">
        <v>419</v>
      </c>
      <c r="C54" s="110">
        <f>IFERROR(VLOOKUP($B54,MMWR_TRAD_AGG_STATE_COMP[],C$1,0),"ERROR")</f>
        <v>10063</v>
      </c>
      <c r="D54" s="111">
        <f>IFERROR(VLOOKUP($B54,MMWR_TRAD_AGG_STATE_COMP[],D$1,0),"ERROR")</f>
        <v>380.9153333996</v>
      </c>
      <c r="E54" s="112">
        <f>IFERROR(VLOOKUP($B54,MMWR_TRAD_AGG_STATE_COMP[],E$1,0),"ERROR")</f>
        <v>6134</v>
      </c>
      <c r="F54" s="113">
        <f>IFERROR(VLOOKUP($B54,MMWR_TRAD_AGG_STATE_COMP[],F$1,0),"ERROR")</f>
        <v>2158</v>
      </c>
      <c r="G54" s="114">
        <f t="shared" si="4"/>
        <v>0.35180958591457451</v>
      </c>
      <c r="H54" s="112">
        <f>IFERROR(VLOOKUP($B54,MMWR_TRAD_AGG_STATE_COMP[],H$1,0),"ERROR")</f>
        <v>12750</v>
      </c>
      <c r="I54" s="113">
        <f>IFERROR(VLOOKUP($B54,MMWR_TRAD_AGG_STATE_COMP[],I$1,0),"ERROR")</f>
        <v>8467</v>
      </c>
      <c r="J54" s="115">
        <f t="shared" si="5"/>
        <v>0.66407843137254907</v>
      </c>
      <c r="K54" s="112">
        <f>IFERROR(VLOOKUP($B54,MMWR_TRAD_AGG_STATE_COMP[],K$1,0),"ERROR")</f>
        <v>3491</v>
      </c>
      <c r="L54" s="113">
        <f>IFERROR(VLOOKUP($B54,MMWR_TRAD_AGG_STATE_COMP[],L$1,0),"ERROR")</f>
        <v>3018</v>
      </c>
      <c r="M54" s="115">
        <f t="shared" si="6"/>
        <v>0.86450873675164708</v>
      </c>
      <c r="N54" s="112">
        <f>IFERROR(VLOOKUP($B54,MMWR_TRAD_AGG_STATE_COMP[],N$1,0),"ERROR")</f>
        <v>1309</v>
      </c>
      <c r="O54" s="113">
        <f>IFERROR(VLOOKUP($B54,MMWR_TRAD_AGG_STATE_COMP[],O$1,0),"ERROR")</f>
        <v>702</v>
      </c>
      <c r="P54" s="115">
        <f t="shared" si="7"/>
        <v>0.53628724216959511</v>
      </c>
      <c r="Q54" s="116">
        <f>IFERROR(VLOOKUP($B54,MMWR_TRAD_AGG_STATE_COMP[],Q$1,0),"ERROR")</f>
        <v>3</v>
      </c>
      <c r="R54" s="116">
        <f>IFERROR(VLOOKUP($B54,MMWR_TRAD_AGG_STATE_COMP[],R$1,0),"ERROR")</f>
        <v>74</v>
      </c>
      <c r="S54" s="116">
        <f>IFERROR(VLOOKUP($B54,MMWR_APP_STATE_COMP[],S$1,0),"ERROR")</f>
        <v>5352</v>
      </c>
      <c r="T54" s="28"/>
    </row>
    <row r="55" spans="1:20" s="124" customFormat="1" x14ac:dyDescent="0.2">
      <c r="A55" s="28"/>
      <c r="B55" s="128" t="s">
        <v>83</v>
      </c>
      <c r="C55" s="110">
        <f>IFERROR(VLOOKUP($B55,MMWR_TRAD_AGG_STATE_COMP[],C$1,0),"ERROR")</f>
        <v>15284</v>
      </c>
      <c r="D55" s="111">
        <f>IFERROR(VLOOKUP($B55,MMWR_TRAD_AGG_STATE_COMP[],D$1,0),"ERROR")</f>
        <v>410.24862601410001</v>
      </c>
      <c r="E55" s="112">
        <f>IFERROR(VLOOKUP($B55,MMWR_TRAD_AGG_STATE_COMP[],E$1,0),"ERROR")</f>
        <v>9063</v>
      </c>
      <c r="F55" s="113">
        <f>IFERROR(VLOOKUP($B55,MMWR_TRAD_AGG_STATE_COMP[],F$1,0),"ERROR")</f>
        <v>3311</v>
      </c>
      <c r="G55" s="114">
        <f t="shared" si="4"/>
        <v>0.36533156791349441</v>
      </c>
      <c r="H55" s="112">
        <f>IFERROR(VLOOKUP($B55,MMWR_TRAD_AGG_STATE_COMP[],H$1,0),"ERROR")</f>
        <v>20498</v>
      </c>
      <c r="I55" s="113">
        <f>IFERROR(VLOOKUP($B55,MMWR_TRAD_AGG_STATE_COMP[],I$1,0),"ERROR")</f>
        <v>14950</v>
      </c>
      <c r="J55" s="115">
        <f t="shared" si="5"/>
        <v>0.72933944775100013</v>
      </c>
      <c r="K55" s="112">
        <f>IFERROR(VLOOKUP($B55,MMWR_TRAD_AGG_STATE_COMP[],K$1,0),"ERROR")</f>
        <v>3942</v>
      </c>
      <c r="L55" s="113">
        <f>IFERROR(VLOOKUP($B55,MMWR_TRAD_AGG_STATE_COMP[],L$1,0),"ERROR")</f>
        <v>3466</v>
      </c>
      <c r="M55" s="115">
        <f t="shared" si="6"/>
        <v>0.87924911212582446</v>
      </c>
      <c r="N55" s="112">
        <f>IFERROR(VLOOKUP($B55,MMWR_TRAD_AGG_STATE_COMP[],N$1,0),"ERROR")</f>
        <v>6942</v>
      </c>
      <c r="O55" s="113">
        <f>IFERROR(VLOOKUP($B55,MMWR_TRAD_AGG_STATE_COMP[],O$1,0),"ERROR")</f>
        <v>5499</v>
      </c>
      <c r="P55" s="115">
        <f t="shared" si="7"/>
        <v>0.7921348314606742</v>
      </c>
      <c r="Q55" s="116">
        <f>IFERROR(VLOOKUP($B55,MMWR_TRAD_AGG_STATE_COMP[],Q$1,0),"ERROR")</f>
        <v>8</v>
      </c>
      <c r="R55" s="116">
        <f>IFERROR(VLOOKUP($B55,MMWR_TRAD_AGG_STATE_COMP[],R$1,0),"ERROR")</f>
        <v>144</v>
      </c>
      <c r="S55" s="116">
        <f>IFERROR(VLOOKUP($B55,MMWR_APP_STATE_COMP[],S$1,0),"ERROR")</f>
        <v>4498</v>
      </c>
      <c r="T55" s="28"/>
    </row>
    <row r="56" spans="1:20" s="124" customFormat="1" x14ac:dyDescent="0.2">
      <c r="A56" s="28"/>
      <c r="B56" s="127" t="s">
        <v>390</v>
      </c>
      <c r="C56" s="103">
        <f>IFERROR(VLOOKUP($B56,MMWR_TRAD_AGG_ST_DISTRICT_COMP[],C$1,0),"ERROR")</f>
        <v>80252</v>
      </c>
      <c r="D56" s="104">
        <f>IFERROR(VLOOKUP($B56,MMWR_TRAD_AGG_ST_DISTRICT_COMP[],D$1,0),"ERROR")</f>
        <v>350.88199671040002</v>
      </c>
      <c r="E56" s="103">
        <f>IFERROR(VLOOKUP($B56,MMWR_TRAD_AGG_ST_DISTRICT_COMP[],E$1,0),"ERROR")</f>
        <v>83746</v>
      </c>
      <c r="F56" s="103">
        <f>IFERROR(VLOOKUP($B56,MMWR_TRAD_AGG_ST_DISTRICT_COMP[],F$1,0),"ERROR")</f>
        <v>29953</v>
      </c>
      <c r="G56" s="105">
        <f t="shared" si="4"/>
        <v>0.35766484369402718</v>
      </c>
      <c r="H56" s="103">
        <f>IFERROR(VLOOKUP($B56,MMWR_TRAD_AGG_ST_DISTRICT_COMP[],H$1,0),"ERROR")</f>
        <v>108415</v>
      </c>
      <c r="I56" s="103">
        <f>IFERROR(VLOOKUP($B56,MMWR_TRAD_AGG_ST_DISTRICT_COMP[],I$1,0),"ERROR")</f>
        <v>71782</v>
      </c>
      <c r="J56" s="106">
        <f t="shared" si="5"/>
        <v>0.66210395240511</v>
      </c>
      <c r="K56" s="103">
        <f>IFERROR(VLOOKUP($B56,MMWR_TRAD_AGG_ST_DISTRICT_COMP[],K$1,0),"ERROR")</f>
        <v>17667</v>
      </c>
      <c r="L56" s="103">
        <f>IFERROR(VLOOKUP($B56,MMWR_TRAD_AGG_ST_DISTRICT_COMP[],L$1,0),"ERROR")</f>
        <v>14764</v>
      </c>
      <c r="M56" s="106">
        <f t="shared" si="6"/>
        <v>0.83568234561612043</v>
      </c>
      <c r="N56" s="103">
        <f>IFERROR(VLOOKUP($B56,MMWR_TRAD_AGG_ST_DISTRICT_COMP[],N$1,0),"ERROR")</f>
        <v>31376</v>
      </c>
      <c r="O56" s="103">
        <f>IFERROR(VLOOKUP($B56,MMWR_TRAD_AGG_ST_DISTRICT_COMP[],O$1,0),"ERROR")</f>
        <v>21802</v>
      </c>
      <c r="P56" s="106">
        <f t="shared" si="7"/>
        <v>0.69486231514533403</v>
      </c>
      <c r="Q56" s="103">
        <f>IFERROR(VLOOKUP($B56,MMWR_TRAD_AGG_ST_DISTRICT_COMP[],Q$1,0),"ERROR")</f>
        <v>2079</v>
      </c>
      <c r="R56" s="107">
        <f>IFERROR(VLOOKUP($B56,MMWR_TRAD_AGG_ST_DISTRICT_COMP[],R$1,0),"ERROR")</f>
        <v>1044</v>
      </c>
      <c r="S56" s="107">
        <f>SUM(S57:S63)</f>
        <v>82247</v>
      </c>
      <c r="T56" s="28"/>
    </row>
    <row r="57" spans="1:20" s="124" customFormat="1" x14ac:dyDescent="0.2">
      <c r="A57" s="28"/>
      <c r="B57" s="128" t="s">
        <v>398</v>
      </c>
      <c r="C57" s="110">
        <f>IFERROR(VLOOKUP($B57,MMWR_TRAD_AGG_STATE_COMP[],C$1,0),"ERROR")</f>
        <v>14451</v>
      </c>
      <c r="D57" s="111">
        <f>IFERROR(VLOOKUP($B57,MMWR_TRAD_AGG_STATE_COMP[],D$1,0),"ERROR")</f>
        <v>369.04587917790002</v>
      </c>
      <c r="E57" s="112">
        <f>IFERROR(VLOOKUP($B57,MMWR_TRAD_AGG_STATE_COMP[],E$1,0),"ERROR")</f>
        <v>8829</v>
      </c>
      <c r="F57" s="113">
        <f>IFERROR(VLOOKUP($B57,MMWR_TRAD_AGG_STATE_COMP[],F$1,0),"ERROR")</f>
        <v>3400</v>
      </c>
      <c r="G57" s="114">
        <f t="shared" si="4"/>
        <v>0.38509457469702119</v>
      </c>
      <c r="H57" s="112">
        <f>IFERROR(VLOOKUP($B57,MMWR_TRAD_AGG_STATE_COMP[],H$1,0),"ERROR")</f>
        <v>16755</v>
      </c>
      <c r="I57" s="113">
        <f>IFERROR(VLOOKUP($B57,MMWR_TRAD_AGG_STATE_COMP[],I$1,0),"ERROR")</f>
        <v>12092</v>
      </c>
      <c r="J57" s="115">
        <f t="shared" si="5"/>
        <v>0.72169501641301104</v>
      </c>
      <c r="K57" s="112">
        <f>IFERROR(VLOOKUP($B57,MMWR_TRAD_AGG_STATE_COMP[],K$1,0),"ERROR")</f>
        <v>4429</v>
      </c>
      <c r="L57" s="113">
        <f>IFERROR(VLOOKUP($B57,MMWR_TRAD_AGG_STATE_COMP[],L$1,0),"ERROR")</f>
        <v>4038</v>
      </c>
      <c r="M57" s="115">
        <f t="shared" si="6"/>
        <v>0.91171822081734022</v>
      </c>
      <c r="N57" s="112">
        <f>IFERROR(VLOOKUP($B57,MMWR_TRAD_AGG_STATE_COMP[],N$1,0),"ERROR")</f>
        <v>3213</v>
      </c>
      <c r="O57" s="113">
        <f>IFERROR(VLOOKUP($B57,MMWR_TRAD_AGG_STATE_COMP[],O$1,0),"ERROR")</f>
        <v>2193</v>
      </c>
      <c r="P57" s="115">
        <f t="shared" si="7"/>
        <v>0.68253968253968256</v>
      </c>
      <c r="Q57" s="116">
        <f>IFERROR(VLOOKUP($B57,MMWR_TRAD_AGG_STATE_COMP[],Q$1,0),"ERROR")</f>
        <v>22</v>
      </c>
      <c r="R57" s="116">
        <f>IFERROR(VLOOKUP($B57,MMWR_TRAD_AGG_STATE_COMP[],R$1,0),"ERROR")</f>
        <v>337</v>
      </c>
      <c r="S57" s="116">
        <f>IFERROR(VLOOKUP($B57,MMWR_APP_STATE_COMP[],S$1,0),"ERROR")</f>
        <v>10739</v>
      </c>
      <c r="T57" s="28"/>
    </row>
    <row r="58" spans="1:20" s="124" customFormat="1" x14ac:dyDescent="0.2">
      <c r="A58" s="28"/>
      <c r="B58" s="128" t="s">
        <v>435</v>
      </c>
      <c r="C58" s="110">
        <f>IFERROR(VLOOKUP($B58,MMWR_TRAD_AGG_STATE_COMP[],C$1,0),"ERROR")</f>
        <v>20210</v>
      </c>
      <c r="D58" s="111">
        <f>IFERROR(VLOOKUP($B58,MMWR_TRAD_AGG_STATE_COMP[],D$1,0),"ERROR")</f>
        <v>322.82508659080003</v>
      </c>
      <c r="E58" s="112">
        <f>IFERROR(VLOOKUP($B58,MMWR_TRAD_AGG_STATE_COMP[],E$1,0),"ERROR")</f>
        <v>27699</v>
      </c>
      <c r="F58" s="113">
        <f>IFERROR(VLOOKUP($B58,MMWR_TRAD_AGG_STATE_COMP[],F$1,0),"ERROR")</f>
        <v>11114</v>
      </c>
      <c r="G58" s="114">
        <f t="shared" si="4"/>
        <v>0.4012419220910502</v>
      </c>
      <c r="H58" s="112">
        <f>IFERROR(VLOOKUP($B58,MMWR_TRAD_AGG_STATE_COMP[],H$1,0),"ERROR")</f>
        <v>28084</v>
      </c>
      <c r="I58" s="113">
        <f>IFERROR(VLOOKUP($B58,MMWR_TRAD_AGG_STATE_COMP[],I$1,0),"ERROR")</f>
        <v>16959</v>
      </c>
      <c r="J58" s="115">
        <f t="shared" si="5"/>
        <v>0.60386697051702032</v>
      </c>
      <c r="K58" s="112">
        <f>IFERROR(VLOOKUP($B58,MMWR_TRAD_AGG_STATE_COMP[],K$1,0),"ERROR")</f>
        <v>3445</v>
      </c>
      <c r="L58" s="113">
        <f>IFERROR(VLOOKUP($B58,MMWR_TRAD_AGG_STATE_COMP[],L$1,0),"ERROR")</f>
        <v>2396</v>
      </c>
      <c r="M58" s="115">
        <f t="shared" si="6"/>
        <v>0.69550072568940491</v>
      </c>
      <c r="N58" s="112">
        <f>IFERROR(VLOOKUP($B58,MMWR_TRAD_AGG_STATE_COMP[],N$1,0),"ERROR")</f>
        <v>10160</v>
      </c>
      <c r="O58" s="113">
        <f>IFERROR(VLOOKUP($B58,MMWR_TRAD_AGG_STATE_COMP[],O$1,0),"ERROR")</f>
        <v>6779</v>
      </c>
      <c r="P58" s="115">
        <f t="shared" si="7"/>
        <v>0.66722440944881889</v>
      </c>
      <c r="Q58" s="116">
        <f>IFERROR(VLOOKUP($B58,MMWR_TRAD_AGG_STATE_COMP[],Q$1,0),"ERROR")</f>
        <v>960</v>
      </c>
      <c r="R58" s="116">
        <f>IFERROR(VLOOKUP($B58,MMWR_TRAD_AGG_STATE_COMP[],R$1,0),"ERROR")</f>
        <v>243</v>
      </c>
      <c r="S58" s="116">
        <f>IFERROR(VLOOKUP($B58,MMWR_APP_STATE_COMP[],S$1,0),"ERROR")</f>
        <v>27952</v>
      </c>
      <c r="T58" s="28"/>
    </row>
    <row r="59" spans="1:20" s="124" customFormat="1" x14ac:dyDescent="0.2">
      <c r="A59" s="28"/>
      <c r="B59" s="128" t="s">
        <v>391</v>
      </c>
      <c r="C59" s="110">
        <f>IFERROR(VLOOKUP($B59,MMWR_TRAD_AGG_STATE_COMP[],C$1,0),"ERROR")</f>
        <v>16467</v>
      </c>
      <c r="D59" s="111">
        <f>IFERROR(VLOOKUP($B59,MMWR_TRAD_AGG_STATE_COMP[],D$1,0),"ERROR")</f>
        <v>365.80858687070003</v>
      </c>
      <c r="E59" s="112">
        <f>IFERROR(VLOOKUP($B59,MMWR_TRAD_AGG_STATE_COMP[],E$1,0),"ERROR")</f>
        <v>18952</v>
      </c>
      <c r="F59" s="113">
        <f>IFERROR(VLOOKUP($B59,MMWR_TRAD_AGG_STATE_COMP[],F$1,0),"ERROR")</f>
        <v>6441</v>
      </c>
      <c r="G59" s="114">
        <f t="shared" si="4"/>
        <v>0.33985859012241454</v>
      </c>
      <c r="H59" s="112">
        <f>IFERROR(VLOOKUP($B59,MMWR_TRAD_AGG_STATE_COMP[],H$1,0),"ERROR")</f>
        <v>22657</v>
      </c>
      <c r="I59" s="113">
        <f>IFERROR(VLOOKUP($B59,MMWR_TRAD_AGG_STATE_COMP[],I$1,0),"ERROR")</f>
        <v>15367</v>
      </c>
      <c r="J59" s="115">
        <f t="shared" si="5"/>
        <v>0.6782451339541864</v>
      </c>
      <c r="K59" s="112">
        <f>IFERROR(VLOOKUP($B59,MMWR_TRAD_AGG_STATE_COMP[],K$1,0),"ERROR")</f>
        <v>4724</v>
      </c>
      <c r="L59" s="113">
        <f>IFERROR(VLOOKUP($B59,MMWR_TRAD_AGG_STATE_COMP[],L$1,0),"ERROR")</f>
        <v>4057</v>
      </c>
      <c r="M59" s="115">
        <f t="shared" si="6"/>
        <v>0.85880609652836581</v>
      </c>
      <c r="N59" s="112">
        <f>IFERROR(VLOOKUP($B59,MMWR_TRAD_AGG_STATE_COMP[],N$1,0),"ERROR")</f>
        <v>11072</v>
      </c>
      <c r="O59" s="113">
        <f>IFERROR(VLOOKUP($B59,MMWR_TRAD_AGG_STATE_COMP[],O$1,0),"ERROR")</f>
        <v>8364</v>
      </c>
      <c r="P59" s="115">
        <f t="shared" si="7"/>
        <v>0.75541907514450868</v>
      </c>
      <c r="Q59" s="116">
        <f>IFERROR(VLOOKUP($B59,MMWR_TRAD_AGG_STATE_COMP[],Q$1,0),"ERROR")</f>
        <v>500</v>
      </c>
      <c r="R59" s="116">
        <f>IFERROR(VLOOKUP($B59,MMWR_TRAD_AGG_STATE_COMP[],R$1,0),"ERROR")</f>
        <v>38</v>
      </c>
      <c r="S59" s="116">
        <f>IFERROR(VLOOKUP($B59,MMWR_APP_STATE_COMP[],S$1,0),"ERROR")</f>
        <v>16200</v>
      </c>
      <c r="T59" s="28"/>
    </row>
    <row r="60" spans="1:20" s="124" customFormat="1" x14ac:dyDescent="0.2">
      <c r="A60" s="28"/>
      <c r="B60" s="128" t="s">
        <v>403</v>
      </c>
      <c r="C60" s="110">
        <f>IFERROR(VLOOKUP($B60,MMWR_TRAD_AGG_STATE_COMP[],C$1,0),"ERROR")</f>
        <v>7191</v>
      </c>
      <c r="D60" s="111">
        <f>IFERROR(VLOOKUP($B60,MMWR_TRAD_AGG_STATE_COMP[],D$1,0),"ERROR")</f>
        <v>508.0432485051</v>
      </c>
      <c r="E60" s="112">
        <f>IFERROR(VLOOKUP($B60,MMWR_TRAD_AGG_STATE_COMP[],E$1,0),"ERROR")</f>
        <v>4788</v>
      </c>
      <c r="F60" s="113">
        <f>IFERROR(VLOOKUP($B60,MMWR_TRAD_AGG_STATE_COMP[],F$1,0),"ERROR")</f>
        <v>1818</v>
      </c>
      <c r="G60" s="114">
        <f t="shared" si="4"/>
        <v>0.37969924812030076</v>
      </c>
      <c r="H60" s="112">
        <f>IFERROR(VLOOKUP($B60,MMWR_TRAD_AGG_STATE_COMP[],H$1,0),"ERROR")</f>
        <v>9541</v>
      </c>
      <c r="I60" s="113">
        <f>IFERROR(VLOOKUP($B60,MMWR_TRAD_AGG_STATE_COMP[],I$1,0),"ERROR")</f>
        <v>7137</v>
      </c>
      <c r="J60" s="115">
        <f t="shared" si="5"/>
        <v>0.74803479719107013</v>
      </c>
      <c r="K60" s="112">
        <f>IFERROR(VLOOKUP($B60,MMWR_TRAD_AGG_STATE_COMP[],K$1,0),"ERROR")</f>
        <v>1511</v>
      </c>
      <c r="L60" s="113">
        <f>IFERROR(VLOOKUP($B60,MMWR_TRAD_AGG_STATE_COMP[],L$1,0),"ERROR")</f>
        <v>1400</v>
      </c>
      <c r="M60" s="115">
        <f t="shared" si="6"/>
        <v>0.92653871608206484</v>
      </c>
      <c r="N60" s="112">
        <f>IFERROR(VLOOKUP($B60,MMWR_TRAD_AGG_STATE_COMP[],N$1,0),"ERROR")</f>
        <v>1012</v>
      </c>
      <c r="O60" s="113">
        <f>IFERROR(VLOOKUP($B60,MMWR_TRAD_AGG_STATE_COMP[],O$1,0),"ERROR")</f>
        <v>637</v>
      </c>
      <c r="P60" s="115">
        <f t="shared" si="7"/>
        <v>0.62944664031620556</v>
      </c>
      <c r="Q60" s="116">
        <f>IFERROR(VLOOKUP($B60,MMWR_TRAD_AGG_STATE_COMP[],Q$1,0),"ERROR")</f>
        <v>54</v>
      </c>
      <c r="R60" s="116">
        <f>IFERROR(VLOOKUP($B60,MMWR_TRAD_AGG_STATE_COMP[],R$1,0),"ERROR")</f>
        <v>155</v>
      </c>
      <c r="S60" s="116">
        <f>IFERROR(VLOOKUP($B60,MMWR_APP_STATE_COMP[],S$1,0),"ERROR")</f>
        <v>3245</v>
      </c>
      <c r="T60" s="28"/>
    </row>
    <row r="61" spans="1:20" s="124" customFormat="1" x14ac:dyDescent="0.2">
      <c r="A61" s="28"/>
      <c r="B61" s="128" t="s">
        <v>437</v>
      </c>
      <c r="C61" s="110">
        <f>IFERROR(VLOOKUP($B61,MMWR_TRAD_AGG_STATE_COMP[],C$1,0),"ERROR")</f>
        <v>2946</v>
      </c>
      <c r="D61" s="111">
        <f>IFERROR(VLOOKUP($B61,MMWR_TRAD_AGG_STATE_COMP[],D$1,0),"ERROR")</f>
        <v>298.3482688391</v>
      </c>
      <c r="E61" s="112">
        <f>IFERROR(VLOOKUP($B61,MMWR_TRAD_AGG_STATE_COMP[],E$1,0),"ERROR")</f>
        <v>2958</v>
      </c>
      <c r="F61" s="113">
        <f>IFERROR(VLOOKUP($B61,MMWR_TRAD_AGG_STATE_COMP[],F$1,0),"ERROR")</f>
        <v>843</v>
      </c>
      <c r="G61" s="114">
        <f t="shared" si="4"/>
        <v>0.28498985801217036</v>
      </c>
      <c r="H61" s="112">
        <f>IFERROR(VLOOKUP($B61,MMWR_TRAD_AGG_STATE_COMP[],H$1,0),"ERROR")</f>
        <v>4774</v>
      </c>
      <c r="I61" s="113">
        <f>IFERROR(VLOOKUP($B61,MMWR_TRAD_AGG_STATE_COMP[],I$1,0),"ERROR")</f>
        <v>3039</v>
      </c>
      <c r="J61" s="115">
        <f t="shared" si="5"/>
        <v>0.63657310431503977</v>
      </c>
      <c r="K61" s="112">
        <f>IFERROR(VLOOKUP($B61,MMWR_TRAD_AGG_STATE_COMP[],K$1,0),"ERROR")</f>
        <v>694</v>
      </c>
      <c r="L61" s="113">
        <f>IFERROR(VLOOKUP($B61,MMWR_TRAD_AGG_STATE_COMP[],L$1,0),"ERROR")</f>
        <v>618</v>
      </c>
      <c r="M61" s="115">
        <f t="shared" si="6"/>
        <v>0.89048991354466855</v>
      </c>
      <c r="N61" s="112">
        <f>IFERROR(VLOOKUP($B61,MMWR_TRAD_AGG_STATE_COMP[],N$1,0),"ERROR")</f>
        <v>1709</v>
      </c>
      <c r="O61" s="113">
        <f>IFERROR(VLOOKUP($B61,MMWR_TRAD_AGG_STATE_COMP[],O$1,0),"ERROR")</f>
        <v>1281</v>
      </c>
      <c r="P61" s="115">
        <f t="shared" si="7"/>
        <v>0.74956114686951436</v>
      </c>
      <c r="Q61" s="116">
        <f>IFERROR(VLOOKUP($B61,MMWR_TRAD_AGG_STATE_COMP[],Q$1,0),"ERROR")</f>
        <v>166</v>
      </c>
      <c r="R61" s="116">
        <f>IFERROR(VLOOKUP($B61,MMWR_TRAD_AGG_STATE_COMP[],R$1,0),"ERROR")</f>
        <v>5</v>
      </c>
      <c r="S61" s="116">
        <f>IFERROR(VLOOKUP($B61,MMWR_APP_STATE_COMP[],S$1,0),"ERROR")</f>
        <v>5744</v>
      </c>
      <c r="T61" s="28"/>
    </row>
    <row r="62" spans="1:20" s="124" customFormat="1" x14ac:dyDescent="0.2">
      <c r="A62" s="28"/>
      <c r="B62" s="128" t="s">
        <v>393</v>
      </c>
      <c r="C62" s="110">
        <f>IFERROR(VLOOKUP($B62,MMWR_TRAD_AGG_STATE_COMP[],C$1,0),"ERROR")</f>
        <v>11616</v>
      </c>
      <c r="D62" s="111">
        <f>IFERROR(VLOOKUP($B62,MMWR_TRAD_AGG_STATE_COMP[],D$1,0),"ERROR")</f>
        <v>327.09529958680002</v>
      </c>
      <c r="E62" s="112">
        <f>IFERROR(VLOOKUP($B62,MMWR_TRAD_AGG_STATE_COMP[],E$1,0),"ERROR")</f>
        <v>10615</v>
      </c>
      <c r="F62" s="113">
        <f>IFERROR(VLOOKUP($B62,MMWR_TRAD_AGG_STATE_COMP[],F$1,0),"ERROR")</f>
        <v>3328</v>
      </c>
      <c r="G62" s="114">
        <f t="shared" si="4"/>
        <v>0.31351860574658502</v>
      </c>
      <c r="H62" s="112">
        <f>IFERROR(VLOOKUP($B62,MMWR_TRAD_AGG_STATE_COMP[],H$1,0),"ERROR")</f>
        <v>16362</v>
      </c>
      <c r="I62" s="113">
        <f>IFERROR(VLOOKUP($B62,MMWR_TRAD_AGG_STATE_COMP[],I$1,0),"ERROR")</f>
        <v>11332</v>
      </c>
      <c r="J62" s="115">
        <f t="shared" si="5"/>
        <v>0.6925803691480259</v>
      </c>
      <c r="K62" s="112">
        <f>IFERROR(VLOOKUP($B62,MMWR_TRAD_AGG_STATE_COMP[],K$1,0),"ERROR")</f>
        <v>1632</v>
      </c>
      <c r="L62" s="113">
        <f>IFERROR(VLOOKUP($B62,MMWR_TRAD_AGG_STATE_COMP[],L$1,0),"ERROR")</f>
        <v>1192</v>
      </c>
      <c r="M62" s="115">
        <f t="shared" si="6"/>
        <v>0.73039215686274506</v>
      </c>
      <c r="N62" s="112">
        <f>IFERROR(VLOOKUP($B62,MMWR_TRAD_AGG_STATE_COMP[],N$1,0),"ERROR")</f>
        <v>2616</v>
      </c>
      <c r="O62" s="113">
        <f>IFERROR(VLOOKUP($B62,MMWR_TRAD_AGG_STATE_COMP[],O$1,0),"ERROR")</f>
        <v>1598</v>
      </c>
      <c r="P62" s="115">
        <f t="shared" si="7"/>
        <v>0.61085626911314983</v>
      </c>
      <c r="Q62" s="116">
        <f>IFERROR(VLOOKUP($B62,MMWR_TRAD_AGG_STATE_COMP[],Q$1,0),"ERROR")</f>
        <v>337</v>
      </c>
      <c r="R62" s="116">
        <f>IFERROR(VLOOKUP($B62,MMWR_TRAD_AGG_STATE_COMP[],R$1,0),"ERROR")</f>
        <v>61</v>
      </c>
      <c r="S62" s="116">
        <f>IFERROR(VLOOKUP($B62,MMWR_APP_STATE_COMP[],S$1,0),"ERROR")</f>
        <v>11455</v>
      </c>
      <c r="T62" s="28"/>
    </row>
    <row r="63" spans="1:20" s="124" customFormat="1" x14ac:dyDescent="0.2">
      <c r="A63" s="28"/>
      <c r="B63" s="128" t="s">
        <v>394</v>
      </c>
      <c r="C63" s="110">
        <f>IFERROR(VLOOKUP($B63,MMWR_TRAD_AGG_STATE_COMP[],C$1,0),"ERROR")</f>
        <v>7371</v>
      </c>
      <c r="D63" s="111">
        <f>IFERROR(VLOOKUP($B63,MMWR_TRAD_AGG_STATE_COMP[],D$1,0),"ERROR")</f>
        <v>264.01071767740001</v>
      </c>
      <c r="E63" s="112">
        <f>IFERROR(VLOOKUP($B63,MMWR_TRAD_AGG_STATE_COMP[],E$1,0),"ERROR")</f>
        <v>9905</v>
      </c>
      <c r="F63" s="113">
        <f>IFERROR(VLOOKUP($B63,MMWR_TRAD_AGG_STATE_COMP[],F$1,0),"ERROR")</f>
        <v>3009</v>
      </c>
      <c r="G63" s="114">
        <f t="shared" si="4"/>
        <v>0.30378596668349317</v>
      </c>
      <c r="H63" s="112">
        <f>IFERROR(VLOOKUP($B63,MMWR_TRAD_AGG_STATE_COMP[],H$1,0),"ERROR")</f>
        <v>10242</v>
      </c>
      <c r="I63" s="113">
        <f>IFERROR(VLOOKUP($B63,MMWR_TRAD_AGG_STATE_COMP[],I$1,0),"ERROR")</f>
        <v>5856</v>
      </c>
      <c r="J63" s="115">
        <f t="shared" si="5"/>
        <v>0.5717633274751025</v>
      </c>
      <c r="K63" s="112">
        <f>IFERROR(VLOOKUP($B63,MMWR_TRAD_AGG_STATE_COMP[],K$1,0),"ERROR")</f>
        <v>1232</v>
      </c>
      <c r="L63" s="113">
        <f>IFERROR(VLOOKUP($B63,MMWR_TRAD_AGG_STATE_COMP[],L$1,0),"ERROR")</f>
        <v>1063</v>
      </c>
      <c r="M63" s="115">
        <f t="shared" si="6"/>
        <v>0.86282467532467533</v>
      </c>
      <c r="N63" s="112">
        <f>IFERROR(VLOOKUP($B63,MMWR_TRAD_AGG_STATE_COMP[],N$1,0),"ERROR")</f>
        <v>1594</v>
      </c>
      <c r="O63" s="113">
        <f>IFERROR(VLOOKUP($B63,MMWR_TRAD_AGG_STATE_COMP[],O$1,0),"ERROR")</f>
        <v>950</v>
      </c>
      <c r="P63" s="115">
        <f t="shared" si="7"/>
        <v>0.59598494353826847</v>
      </c>
      <c r="Q63" s="116">
        <f>IFERROR(VLOOKUP($B63,MMWR_TRAD_AGG_STATE_COMP[],Q$1,0),"ERROR")</f>
        <v>40</v>
      </c>
      <c r="R63" s="116">
        <f>IFERROR(VLOOKUP($B63,MMWR_TRAD_AGG_STATE_COMP[],R$1,0),"ERROR")</f>
        <v>205</v>
      </c>
      <c r="S63" s="116">
        <f>IFERROR(VLOOKUP($B63,MMWR_APP_STATE_COMP[],S$1,0),"ERROR")</f>
        <v>6912</v>
      </c>
      <c r="T63" s="28"/>
    </row>
    <row r="64" spans="1:20" s="124" customFormat="1" x14ac:dyDescent="0.2">
      <c r="A64" s="28"/>
      <c r="B64" s="129" t="s">
        <v>8</v>
      </c>
      <c r="C64" s="103">
        <f>IFERROR(VLOOKUP($B64,MMWR_TRAD_AGG_ST_DISTRICT_COMP[],C$1,0),"ERROR")</f>
        <v>8883</v>
      </c>
      <c r="D64" s="104">
        <f>IFERROR(VLOOKUP($B64,MMWR_TRAD_AGG_ST_DISTRICT_COMP[],D$1,0),"ERROR")</f>
        <v>401.92783969380002</v>
      </c>
      <c r="E64" s="103">
        <f>IFERROR(VLOOKUP($B64,MMWR_TRAD_AGG_ST_DISTRICT_COMP[],E$1,0),"ERROR")</f>
        <v>4536</v>
      </c>
      <c r="F64" s="103">
        <f>IFERROR(VLOOKUP($B64,MMWR_TRAD_AGG_ST_DISTRICT_COMP[],F$1,0),"ERROR")</f>
        <v>2181</v>
      </c>
      <c r="G64" s="105">
        <f t="shared" si="4"/>
        <v>0.48082010582010581</v>
      </c>
      <c r="H64" s="103">
        <f>IFERROR(VLOOKUP($B64,MMWR_TRAD_AGG_ST_DISTRICT_COMP[],H$1,0),"ERROR")</f>
        <v>10753</v>
      </c>
      <c r="I64" s="103">
        <f>IFERROR(VLOOKUP($B64,MMWR_TRAD_AGG_ST_DISTRICT_COMP[],I$1,0),"ERROR")</f>
        <v>7990</v>
      </c>
      <c r="J64" s="106">
        <f t="shared" si="5"/>
        <v>0.74304845159490374</v>
      </c>
      <c r="K64" s="103">
        <f>IFERROR(VLOOKUP($B64,MMWR_TRAD_AGG_ST_DISTRICT_COMP[],K$1,0),"ERROR")</f>
        <v>1297</v>
      </c>
      <c r="L64" s="103">
        <f>IFERROR(VLOOKUP($B64,MMWR_TRAD_AGG_ST_DISTRICT_COMP[],L$1,0),"ERROR")</f>
        <v>1133</v>
      </c>
      <c r="M64" s="106">
        <f t="shared" si="6"/>
        <v>0.87355435620663069</v>
      </c>
      <c r="N64" s="103">
        <f>IFERROR(VLOOKUP($B64,MMWR_TRAD_AGG_ST_DISTRICT_COMP[],N$1,0),"ERROR")</f>
        <v>16851</v>
      </c>
      <c r="O64" s="103">
        <f>IFERROR(VLOOKUP($B64,MMWR_TRAD_AGG_ST_DISTRICT_COMP[],O$1,0),"ERROR")</f>
        <v>8219</v>
      </c>
      <c r="P64" s="106">
        <f t="shared" si="7"/>
        <v>0.48774553438965046</v>
      </c>
      <c r="Q64" s="103">
        <f>IFERROR(VLOOKUP($B64,MMWR_TRAD_AGG_ST_DISTRICT_COMP[],Q$1,0),"ERROR")</f>
        <v>352</v>
      </c>
      <c r="R64" s="107">
        <f>IFERROR(VLOOKUP($B64,MMWR_TRAD_AGG_ST_DISTRICT_COMP[],R$1,0),"ERROR")</f>
        <v>138</v>
      </c>
      <c r="S64" s="107">
        <f>IFERROR(VLOOKUP($B64,MMWR_APP_STATE_COMP[],S$1,0),"ERROR")</f>
        <v>359</v>
      </c>
      <c r="T64" s="28"/>
    </row>
    <row r="65" spans="1:20" s="124" customFormat="1" x14ac:dyDescent="0.2">
      <c r="A65" s="28"/>
      <c r="B65" s="28"/>
      <c r="C65" s="28"/>
      <c r="D65" s="28"/>
      <c r="E65" s="28"/>
      <c r="F65" s="28"/>
      <c r="G65" s="28"/>
      <c r="H65" s="28"/>
      <c r="I65" s="28"/>
      <c r="J65" s="28"/>
      <c r="K65" s="28"/>
      <c r="L65" s="28"/>
      <c r="M65" s="28"/>
      <c r="N65" s="28"/>
      <c r="O65" s="28"/>
      <c r="P65" s="28"/>
      <c r="Q65" s="28"/>
      <c r="R65" s="28"/>
      <c r="S65" s="28"/>
      <c r="T65" s="28"/>
    </row>
    <row r="66" spans="1:20" s="124" customFormat="1" ht="26.25" x14ac:dyDescent="0.4">
      <c r="A66" s="28"/>
      <c r="B66" s="26"/>
      <c r="C66" s="446" t="s">
        <v>497</v>
      </c>
      <c r="D66" s="447"/>
      <c r="E66" s="447"/>
      <c r="F66" s="447"/>
      <c r="G66" s="447"/>
      <c r="H66" s="447"/>
      <c r="I66" s="447"/>
      <c r="J66" s="447"/>
      <c r="K66" s="447"/>
      <c r="L66" s="447"/>
      <c r="M66" s="447"/>
      <c r="N66" s="447"/>
      <c r="O66" s="447"/>
      <c r="P66" s="447"/>
      <c r="Q66" s="447"/>
      <c r="R66" s="447"/>
      <c r="S66" s="448"/>
      <c r="T66" s="28"/>
    </row>
    <row r="67" spans="1:20" s="124" customFormat="1" x14ac:dyDescent="0.2">
      <c r="A67" s="28"/>
      <c r="B67" s="26"/>
      <c r="C67" s="454" t="s">
        <v>233</v>
      </c>
      <c r="D67" s="454"/>
      <c r="E67" s="451" t="s">
        <v>213</v>
      </c>
      <c r="F67" s="452"/>
      <c r="G67" s="453"/>
      <c r="H67" s="451" t="s">
        <v>7</v>
      </c>
      <c r="I67" s="452"/>
      <c r="J67" s="453"/>
      <c r="K67" s="451" t="s">
        <v>33</v>
      </c>
      <c r="L67" s="452"/>
      <c r="M67" s="453"/>
      <c r="N67" s="451" t="s">
        <v>8</v>
      </c>
      <c r="O67" s="452"/>
      <c r="P67" s="453"/>
      <c r="Q67" s="82" t="s">
        <v>9</v>
      </c>
      <c r="R67" s="83" t="s">
        <v>10</v>
      </c>
      <c r="S67" s="83" t="s">
        <v>11</v>
      </c>
      <c r="T67" s="28"/>
    </row>
    <row r="68" spans="1:20" s="124" customFormat="1" ht="38.25" x14ac:dyDescent="0.2">
      <c r="A68" s="28"/>
      <c r="B68" s="55"/>
      <c r="C68" s="85" t="s">
        <v>12</v>
      </c>
      <c r="D68" s="86" t="s">
        <v>140</v>
      </c>
      <c r="E68" s="87" t="s">
        <v>12</v>
      </c>
      <c r="F68" s="88" t="s">
        <v>3</v>
      </c>
      <c r="G68" s="89" t="s">
        <v>4</v>
      </c>
      <c r="H68" s="87" t="s">
        <v>12</v>
      </c>
      <c r="I68" s="88" t="s">
        <v>3</v>
      </c>
      <c r="J68" s="89" t="s">
        <v>4</v>
      </c>
      <c r="K68" s="87" t="s">
        <v>12</v>
      </c>
      <c r="L68" s="88" t="s">
        <v>3</v>
      </c>
      <c r="M68" s="89" t="s">
        <v>4</v>
      </c>
      <c r="N68" s="87" t="s">
        <v>12</v>
      </c>
      <c r="O68" s="88" t="s">
        <v>3</v>
      </c>
      <c r="P68" s="89" t="s">
        <v>4</v>
      </c>
      <c r="Q68" s="90" t="s">
        <v>12</v>
      </c>
      <c r="R68" s="90" t="s">
        <v>12</v>
      </c>
      <c r="S68" s="90" t="s">
        <v>498</v>
      </c>
      <c r="T68" s="28"/>
    </row>
    <row r="69" spans="1:20" s="124" customFormat="1" x14ac:dyDescent="0.2">
      <c r="A69" s="28"/>
      <c r="B69" s="130" t="s">
        <v>472</v>
      </c>
      <c r="C69" s="120">
        <f>IFERROR(VLOOKUP($B69,MMWR_TRAD_AGG_RO_PEN[],C$1,0),"ERROR")</f>
        <v>20000</v>
      </c>
      <c r="D69" s="121">
        <f>IFERROR(VLOOKUP($B69,MMWR_TRAD_AGG_RO_PEN[],D$1,0),"ERROR")</f>
        <v>81.5989</v>
      </c>
      <c r="E69" s="120">
        <f>IFERROR(VLOOKUP($B69,MMWR_TRAD_AGG_RO_PEN[],E$1,0),"ERROR")</f>
        <v>23361</v>
      </c>
      <c r="F69" s="120">
        <f>IFERROR(VLOOKUP($B69,MMWR_TRAD_AGG_RO_PEN[],F$1,0),"ERROR")</f>
        <v>2683</v>
      </c>
      <c r="G69" s="99">
        <f t="shared" ref="G69:G100" si="8">IFERROR(F69/E69,"0%")</f>
        <v>0.11484953555070417</v>
      </c>
      <c r="H69" s="120">
        <f>IFERROR(VLOOKUP($B69,MMWR_TRAD_AGG_RO_PEN[],H$1,0),"ERROR")</f>
        <v>33221</v>
      </c>
      <c r="I69" s="120">
        <f>IFERROR(VLOOKUP($B69,MMWR_TRAD_AGG_RO_PEN[],I$1,0),"ERROR")</f>
        <v>6013</v>
      </c>
      <c r="J69" s="99">
        <f t="shared" ref="J69:J100" si="9">IFERROR(I69/H69,"0%")</f>
        <v>0.18099996989855813</v>
      </c>
      <c r="K69" s="120">
        <f>IFERROR(VLOOKUP($B69,MMWR_TRAD_AGG_RO_PEN[],K$1,0),"ERROR")</f>
        <v>860</v>
      </c>
      <c r="L69" s="120">
        <f>IFERROR(VLOOKUP($B69,MMWR_TRAD_AGG_RO_PEN[],L$1,0),"ERROR")</f>
        <v>842</v>
      </c>
      <c r="M69" s="99">
        <f t="shared" ref="M69:M100" si="10">IFERROR(L69/K69,"0%")</f>
        <v>0.97906976744186047</v>
      </c>
      <c r="N69" s="120">
        <f>IFERROR(VLOOKUP($B69,MMWR_TRAD_AGG_RO_PEN[],N$1,0),"ERROR")</f>
        <v>5315</v>
      </c>
      <c r="O69" s="120">
        <f>IFERROR(VLOOKUP($B69,MMWR_TRAD_AGG_RO_PEN[],O$1,0),"ERROR")</f>
        <v>983</v>
      </c>
      <c r="P69" s="99">
        <f t="shared" ref="P69:P100" si="11">IFERROR(O69/N69,"0%")</f>
        <v>0.18494825964252118</v>
      </c>
      <c r="Q69" s="120">
        <f>IFERROR(VLOOKUP($B69,MMWR_TRAD_AGG_RO_PEN[],Q$1,0),"ERROR")</f>
        <v>10541</v>
      </c>
      <c r="R69" s="122">
        <f>IFERROR(VLOOKUP($B69,MMWR_TRAD_AGG_RO_PEN[],R$1,0),"ERROR")</f>
        <v>4496</v>
      </c>
      <c r="S69" s="122">
        <f>S70+S86+S99+S109+S119+S127</f>
        <v>6051</v>
      </c>
      <c r="T69" s="28"/>
    </row>
    <row r="70" spans="1:20" s="124" customFormat="1" x14ac:dyDescent="0.2">
      <c r="A70" s="28"/>
      <c r="B70" s="127" t="s">
        <v>379</v>
      </c>
      <c r="C70" s="103">
        <f>IFERROR(VLOOKUP($B70,MMWR_TRAD_AGG_ST_DISTRICT_PEN[],C$1,0),"ERROR")</f>
        <v>6310</v>
      </c>
      <c r="D70" s="104">
        <f>IFERROR(VLOOKUP($B70,MMWR_TRAD_AGG_ST_DISTRICT_PEN[],D$1,0),"ERROR")</f>
        <v>98.153565768600004</v>
      </c>
      <c r="E70" s="103">
        <f>IFERROR(VLOOKUP($B70,MMWR_TRAD_AGG_ST_DISTRICT_PEN[],E$1,0),"ERROR")</f>
        <v>6619</v>
      </c>
      <c r="F70" s="103">
        <f>IFERROR(VLOOKUP($B70,MMWR_TRAD_AGG_ST_DISTRICT_PEN[],F$1,0),"ERROR")</f>
        <v>1172</v>
      </c>
      <c r="G70" s="105">
        <f t="shared" si="8"/>
        <v>0.17706602205771266</v>
      </c>
      <c r="H70" s="103">
        <f>IFERROR(VLOOKUP($B70,MMWR_TRAD_AGG_ST_DISTRICT_PEN[],H$1,0),"ERROR")</f>
        <v>10450</v>
      </c>
      <c r="I70" s="103">
        <f>IFERROR(VLOOKUP($B70,MMWR_TRAD_AGG_ST_DISTRICT_PEN[],I$1,0),"ERROR")</f>
        <v>2570</v>
      </c>
      <c r="J70" s="105">
        <f t="shared" si="9"/>
        <v>0.24593301435406698</v>
      </c>
      <c r="K70" s="103">
        <f>IFERROR(VLOOKUP($B70,MMWR_TRAD_AGG_ST_DISTRICT_PEN[],K$1,0),"ERROR")</f>
        <v>475</v>
      </c>
      <c r="L70" s="103">
        <f>IFERROR(VLOOKUP($B70,MMWR_TRAD_AGG_ST_DISTRICT_PEN[],L$1,0),"ERROR")</f>
        <v>466</v>
      </c>
      <c r="M70" s="105">
        <f t="shared" si="10"/>
        <v>0.9810526315789474</v>
      </c>
      <c r="N70" s="103">
        <f>IFERROR(VLOOKUP($B70,MMWR_TRAD_AGG_ST_DISTRICT_PEN[],N$1,0),"ERROR")</f>
        <v>2712</v>
      </c>
      <c r="O70" s="103">
        <f>IFERROR(VLOOKUP($B70,MMWR_TRAD_AGG_ST_DISTRICT_PEN[],O$1,0),"ERROR")</f>
        <v>406</v>
      </c>
      <c r="P70" s="105">
        <f t="shared" si="11"/>
        <v>0.14970501474926254</v>
      </c>
      <c r="Q70" s="103">
        <f>IFERROR(VLOOKUP($B70,MMWR_TRAD_AGG_ST_DISTRICT_PEN[],Q$1,0),"ERROR")</f>
        <v>1050</v>
      </c>
      <c r="R70" s="107">
        <f>IFERROR(VLOOKUP($B70,MMWR_TRAD_AGG_ST_DISTRICT_PEN[],R$1,0),"ERROR")</f>
        <v>1746</v>
      </c>
      <c r="S70" s="107">
        <f>IFERROR(VLOOKUP($B70,MMWR_APP_STATE_PEN[],S$1,0),"ERROR")</f>
        <v>1492</v>
      </c>
      <c r="T70" s="28"/>
    </row>
    <row r="71" spans="1:20" s="124" customFormat="1" x14ac:dyDescent="0.2">
      <c r="A71" s="28"/>
      <c r="B71" s="128" t="s">
        <v>383</v>
      </c>
      <c r="C71" s="110">
        <f>IFERROR(VLOOKUP($B71,MMWR_TRAD_AGG_STATE_PEN[],C$1,0),"ERROR")</f>
        <v>135</v>
      </c>
      <c r="D71" s="111">
        <f>IFERROR(VLOOKUP($B71,MMWR_TRAD_AGG_STATE_PEN[],D$1,0),"ERROR")</f>
        <v>101.4814814815</v>
      </c>
      <c r="E71" s="112">
        <f>IFERROR(VLOOKUP($B71,MMWR_TRAD_AGG_STATE_PEN[],E$1,0),"ERROR")</f>
        <v>244</v>
      </c>
      <c r="F71" s="113">
        <f>IFERROR(VLOOKUP($B71,MMWR_TRAD_AGG_STATE_PEN[],F$1,0),"ERROR")</f>
        <v>40</v>
      </c>
      <c r="G71" s="114">
        <f t="shared" si="8"/>
        <v>0.16393442622950818</v>
      </c>
      <c r="H71" s="112">
        <f>IFERROR(VLOOKUP($B71,MMWR_TRAD_AGG_STATE_PEN[],H$1,0),"ERROR")</f>
        <v>221</v>
      </c>
      <c r="I71" s="113">
        <f>IFERROR(VLOOKUP($B71,MMWR_TRAD_AGG_STATE_PEN[],I$1,0),"ERROR")</f>
        <v>70</v>
      </c>
      <c r="J71" s="115">
        <f t="shared" si="9"/>
        <v>0.31674208144796379</v>
      </c>
      <c r="K71" s="112">
        <f>IFERROR(VLOOKUP($B71,MMWR_TRAD_AGG_STATE_PEN[],K$1,0),"ERROR")</f>
        <v>9</v>
      </c>
      <c r="L71" s="113">
        <f>IFERROR(VLOOKUP($B71,MMWR_TRAD_AGG_STATE_PEN[],L$1,0),"ERROR")</f>
        <v>9</v>
      </c>
      <c r="M71" s="115">
        <f t="shared" si="10"/>
        <v>1</v>
      </c>
      <c r="N71" s="112">
        <f>IFERROR(VLOOKUP($B71,MMWR_TRAD_AGG_STATE_PEN[],N$1,0),"ERROR")</f>
        <v>80</v>
      </c>
      <c r="O71" s="113">
        <f>IFERROR(VLOOKUP($B71,MMWR_TRAD_AGG_STATE_PEN[],O$1,0),"ERROR")</f>
        <v>8</v>
      </c>
      <c r="P71" s="115">
        <f t="shared" si="11"/>
        <v>0.1</v>
      </c>
      <c r="Q71" s="116">
        <f>IFERROR(VLOOKUP($B71,MMWR_TRAD_AGG_STATE_PEN[],Q$1,0),"ERROR")</f>
        <v>25</v>
      </c>
      <c r="R71" s="116">
        <f>IFERROR(VLOOKUP($B71,MMWR_TRAD_AGG_STATE_PEN[],R$1,0),"ERROR")</f>
        <v>58</v>
      </c>
      <c r="S71" s="116">
        <f>IFERROR(VLOOKUP($B71,MMWR_APP_STATE_PEN[],S$1,0),"ERROR")</f>
        <v>55</v>
      </c>
      <c r="T71" s="28"/>
    </row>
    <row r="72" spans="1:20" s="124" customFormat="1" x14ac:dyDescent="0.2">
      <c r="A72" s="28"/>
      <c r="B72" s="128" t="s">
        <v>433</v>
      </c>
      <c r="C72" s="110">
        <f>IFERROR(VLOOKUP($B72,MMWR_TRAD_AGG_STATE_PEN[],C$1,0),"ERROR")</f>
        <v>58</v>
      </c>
      <c r="D72" s="111">
        <f>IFERROR(VLOOKUP($B72,MMWR_TRAD_AGG_STATE_PEN[],D$1,0),"ERROR")</f>
        <v>112.60344827590001</v>
      </c>
      <c r="E72" s="112">
        <f>IFERROR(VLOOKUP($B72,MMWR_TRAD_AGG_STATE_PEN[],E$1,0),"ERROR")</f>
        <v>69</v>
      </c>
      <c r="F72" s="113">
        <f>IFERROR(VLOOKUP($B72,MMWR_TRAD_AGG_STATE_PEN[],F$1,0),"ERROR")</f>
        <v>17</v>
      </c>
      <c r="G72" s="114">
        <f t="shared" si="8"/>
        <v>0.24637681159420291</v>
      </c>
      <c r="H72" s="112">
        <f>IFERROR(VLOOKUP($B72,MMWR_TRAD_AGG_STATE_PEN[],H$1,0),"ERROR")</f>
        <v>85</v>
      </c>
      <c r="I72" s="113">
        <f>IFERROR(VLOOKUP($B72,MMWR_TRAD_AGG_STATE_PEN[],I$1,0),"ERROR")</f>
        <v>30</v>
      </c>
      <c r="J72" s="115">
        <f t="shared" si="9"/>
        <v>0.35294117647058826</v>
      </c>
      <c r="K72" s="112">
        <f>IFERROR(VLOOKUP($B72,MMWR_TRAD_AGG_STATE_PEN[],K$1,0),"ERROR")</f>
        <v>6</v>
      </c>
      <c r="L72" s="113">
        <f>IFERROR(VLOOKUP($B72,MMWR_TRAD_AGG_STATE_PEN[],L$1,0),"ERROR")</f>
        <v>6</v>
      </c>
      <c r="M72" s="115">
        <f t="shared" si="10"/>
        <v>1</v>
      </c>
      <c r="N72" s="112">
        <f>IFERROR(VLOOKUP($B72,MMWR_TRAD_AGG_STATE_PEN[],N$1,0),"ERROR")</f>
        <v>44</v>
      </c>
      <c r="O72" s="113">
        <f>IFERROR(VLOOKUP($B72,MMWR_TRAD_AGG_STATE_PEN[],O$1,0),"ERROR")</f>
        <v>5</v>
      </c>
      <c r="P72" s="115">
        <f t="shared" si="11"/>
        <v>0.11363636363636363</v>
      </c>
      <c r="Q72" s="116">
        <f>IFERROR(VLOOKUP($B72,MMWR_TRAD_AGG_STATE_PEN[],Q$1,0),"ERROR")</f>
        <v>9</v>
      </c>
      <c r="R72" s="116">
        <f>IFERROR(VLOOKUP($B72,MMWR_TRAD_AGG_STATE_PEN[],R$1,0),"ERROR")</f>
        <v>20</v>
      </c>
      <c r="S72" s="116">
        <f>IFERROR(VLOOKUP($B72,MMWR_APP_STATE_PEN[],S$1,0),"ERROR")</f>
        <v>19</v>
      </c>
      <c r="T72" s="28"/>
    </row>
    <row r="73" spans="1:20" s="124" customFormat="1" x14ac:dyDescent="0.2">
      <c r="A73" s="28"/>
      <c r="B73" s="128" t="s">
        <v>424</v>
      </c>
      <c r="C73" s="110">
        <f>IFERROR(VLOOKUP($B73,MMWR_TRAD_AGG_STATE_PEN[],C$1,0),"ERROR")</f>
        <v>32</v>
      </c>
      <c r="D73" s="111">
        <f>IFERROR(VLOOKUP($B73,MMWR_TRAD_AGG_STATE_PEN[],D$1,0),"ERROR")</f>
        <v>83.84375</v>
      </c>
      <c r="E73" s="112">
        <f>IFERROR(VLOOKUP($B73,MMWR_TRAD_AGG_STATE_PEN[],E$1,0),"ERROR")</f>
        <v>32</v>
      </c>
      <c r="F73" s="113">
        <f>IFERROR(VLOOKUP($B73,MMWR_TRAD_AGG_STATE_PEN[],F$1,0),"ERROR")</f>
        <v>6</v>
      </c>
      <c r="G73" s="114">
        <f t="shared" si="8"/>
        <v>0.1875</v>
      </c>
      <c r="H73" s="112">
        <f>IFERROR(VLOOKUP($B73,MMWR_TRAD_AGG_STATE_PEN[],H$1,0),"ERROR")</f>
        <v>56</v>
      </c>
      <c r="I73" s="113">
        <f>IFERROR(VLOOKUP($B73,MMWR_TRAD_AGG_STATE_PEN[],I$1,0),"ERROR")</f>
        <v>12</v>
      </c>
      <c r="J73" s="115">
        <f t="shared" si="9"/>
        <v>0.21428571428571427</v>
      </c>
      <c r="K73" s="112">
        <f>IFERROR(VLOOKUP($B73,MMWR_TRAD_AGG_STATE_PEN[],K$1,0),"ERROR")</f>
        <v>6</v>
      </c>
      <c r="L73" s="113">
        <f>IFERROR(VLOOKUP($B73,MMWR_TRAD_AGG_STATE_PEN[],L$1,0),"ERROR")</f>
        <v>6</v>
      </c>
      <c r="M73" s="115">
        <f t="shared" si="10"/>
        <v>1</v>
      </c>
      <c r="N73" s="112">
        <f>IFERROR(VLOOKUP($B73,MMWR_TRAD_AGG_STATE_PEN[],N$1,0),"ERROR")</f>
        <v>16</v>
      </c>
      <c r="O73" s="113">
        <f>IFERROR(VLOOKUP($B73,MMWR_TRAD_AGG_STATE_PEN[],O$1,0),"ERROR")</f>
        <v>5</v>
      </c>
      <c r="P73" s="115">
        <f t="shared" si="11"/>
        <v>0.3125</v>
      </c>
      <c r="Q73" s="116">
        <f>IFERROR(VLOOKUP($B73,MMWR_TRAD_AGG_STATE_PEN[],Q$1,0),"ERROR")</f>
        <v>7</v>
      </c>
      <c r="R73" s="116">
        <f>IFERROR(VLOOKUP($B73,MMWR_TRAD_AGG_STATE_PEN[],R$1,0),"ERROR")</f>
        <v>9</v>
      </c>
      <c r="S73" s="116">
        <f>IFERROR(VLOOKUP($B73,MMWR_APP_STATE_PEN[],S$1,0),"ERROR")</f>
        <v>9</v>
      </c>
      <c r="T73" s="28"/>
    </row>
    <row r="74" spans="1:20" s="124" customFormat="1" x14ac:dyDescent="0.2">
      <c r="A74" s="28"/>
      <c r="B74" s="128" t="s">
        <v>426</v>
      </c>
      <c r="C74" s="110">
        <f>IFERROR(VLOOKUP($B74,MMWR_TRAD_AGG_STATE_PEN[],C$1,0),"ERROR")</f>
        <v>116</v>
      </c>
      <c r="D74" s="111">
        <f>IFERROR(VLOOKUP($B74,MMWR_TRAD_AGG_STATE_PEN[],D$1,0),"ERROR")</f>
        <v>89.629310344800004</v>
      </c>
      <c r="E74" s="112">
        <f>IFERROR(VLOOKUP($B74,MMWR_TRAD_AGG_STATE_PEN[],E$1,0),"ERROR")</f>
        <v>68</v>
      </c>
      <c r="F74" s="113">
        <f>IFERROR(VLOOKUP($B74,MMWR_TRAD_AGG_STATE_PEN[],F$1,0),"ERROR")</f>
        <v>9</v>
      </c>
      <c r="G74" s="114">
        <f t="shared" si="8"/>
        <v>0.13235294117647059</v>
      </c>
      <c r="H74" s="112">
        <f>IFERROR(VLOOKUP($B74,MMWR_TRAD_AGG_STATE_PEN[],H$1,0),"ERROR")</f>
        <v>189</v>
      </c>
      <c r="I74" s="113">
        <f>IFERROR(VLOOKUP($B74,MMWR_TRAD_AGG_STATE_PEN[],I$1,0),"ERROR")</f>
        <v>49</v>
      </c>
      <c r="J74" s="115">
        <f t="shared" si="9"/>
        <v>0.25925925925925924</v>
      </c>
      <c r="K74" s="112">
        <f>IFERROR(VLOOKUP($B74,MMWR_TRAD_AGG_STATE_PEN[],K$1,0),"ERROR")</f>
        <v>5</v>
      </c>
      <c r="L74" s="113">
        <f>IFERROR(VLOOKUP($B74,MMWR_TRAD_AGG_STATE_PEN[],L$1,0),"ERROR")</f>
        <v>5</v>
      </c>
      <c r="M74" s="115">
        <f t="shared" si="10"/>
        <v>1</v>
      </c>
      <c r="N74" s="112">
        <f>IFERROR(VLOOKUP($B74,MMWR_TRAD_AGG_STATE_PEN[],N$1,0),"ERROR")</f>
        <v>43</v>
      </c>
      <c r="O74" s="113">
        <f>IFERROR(VLOOKUP($B74,MMWR_TRAD_AGG_STATE_PEN[],O$1,0),"ERROR")</f>
        <v>4</v>
      </c>
      <c r="P74" s="115">
        <f t="shared" si="11"/>
        <v>9.3023255813953487E-2</v>
      </c>
      <c r="Q74" s="116">
        <f>IFERROR(VLOOKUP($B74,MMWR_TRAD_AGG_STATE_PEN[],Q$1,0),"ERROR")</f>
        <v>14</v>
      </c>
      <c r="R74" s="116">
        <f>IFERROR(VLOOKUP($B74,MMWR_TRAD_AGG_STATE_PEN[],R$1,0),"ERROR")</f>
        <v>24</v>
      </c>
      <c r="S74" s="116">
        <f>IFERROR(VLOOKUP($B74,MMWR_APP_STATE_PEN[],S$1,0),"ERROR")</f>
        <v>23</v>
      </c>
      <c r="T74" s="28"/>
    </row>
    <row r="75" spans="1:20" s="124" customFormat="1" x14ac:dyDescent="0.2">
      <c r="A75" s="28"/>
      <c r="B75" s="128" t="s">
        <v>386</v>
      </c>
      <c r="C75" s="110">
        <f>IFERROR(VLOOKUP($B75,MMWR_TRAD_AGG_STATE_PEN[],C$1,0),"ERROR")</f>
        <v>343</v>
      </c>
      <c r="D75" s="111">
        <f>IFERROR(VLOOKUP($B75,MMWR_TRAD_AGG_STATE_PEN[],D$1,0),"ERROR")</f>
        <v>93.408163265300004</v>
      </c>
      <c r="E75" s="112">
        <f>IFERROR(VLOOKUP($B75,MMWR_TRAD_AGG_STATE_PEN[],E$1,0),"ERROR")</f>
        <v>419</v>
      </c>
      <c r="F75" s="113">
        <f>IFERROR(VLOOKUP($B75,MMWR_TRAD_AGG_STATE_PEN[],F$1,0),"ERROR")</f>
        <v>67</v>
      </c>
      <c r="G75" s="114">
        <f t="shared" si="8"/>
        <v>0.15990453460620524</v>
      </c>
      <c r="H75" s="112">
        <f>IFERROR(VLOOKUP($B75,MMWR_TRAD_AGG_STATE_PEN[],H$1,0),"ERROR")</f>
        <v>551</v>
      </c>
      <c r="I75" s="113">
        <f>IFERROR(VLOOKUP($B75,MMWR_TRAD_AGG_STATE_PEN[],I$1,0),"ERROR")</f>
        <v>137</v>
      </c>
      <c r="J75" s="115">
        <f t="shared" si="9"/>
        <v>0.24863883847549909</v>
      </c>
      <c r="K75" s="112">
        <f>IFERROR(VLOOKUP($B75,MMWR_TRAD_AGG_STATE_PEN[],K$1,0),"ERROR")</f>
        <v>25</v>
      </c>
      <c r="L75" s="113">
        <f>IFERROR(VLOOKUP($B75,MMWR_TRAD_AGG_STATE_PEN[],L$1,0),"ERROR")</f>
        <v>25</v>
      </c>
      <c r="M75" s="115">
        <f t="shared" si="10"/>
        <v>1</v>
      </c>
      <c r="N75" s="112">
        <f>IFERROR(VLOOKUP($B75,MMWR_TRAD_AGG_STATE_PEN[],N$1,0),"ERROR")</f>
        <v>160</v>
      </c>
      <c r="O75" s="113">
        <f>IFERROR(VLOOKUP($B75,MMWR_TRAD_AGG_STATE_PEN[],O$1,0),"ERROR")</f>
        <v>32</v>
      </c>
      <c r="P75" s="115">
        <f t="shared" si="11"/>
        <v>0.2</v>
      </c>
      <c r="Q75" s="116">
        <f>IFERROR(VLOOKUP($B75,MMWR_TRAD_AGG_STATE_PEN[],Q$1,0),"ERROR")</f>
        <v>77</v>
      </c>
      <c r="R75" s="116">
        <f>IFERROR(VLOOKUP($B75,MMWR_TRAD_AGG_STATE_PEN[],R$1,0),"ERROR")</f>
        <v>120</v>
      </c>
      <c r="S75" s="116">
        <f>IFERROR(VLOOKUP($B75,MMWR_APP_STATE_PEN[],S$1,0),"ERROR")</f>
        <v>80</v>
      </c>
      <c r="T75" s="28"/>
    </row>
    <row r="76" spans="1:20" s="124" customFormat="1" x14ac:dyDescent="0.2">
      <c r="A76" s="28"/>
      <c r="B76" s="128" t="s">
        <v>381</v>
      </c>
      <c r="C76" s="110">
        <f>IFERROR(VLOOKUP($B76,MMWR_TRAD_AGG_STATE_PEN[],C$1,0),"ERROR")</f>
        <v>305</v>
      </c>
      <c r="D76" s="111">
        <f>IFERROR(VLOOKUP($B76,MMWR_TRAD_AGG_STATE_PEN[],D$1,0),"ERROR")</f>
        <v>89.344262295099995</v>
      </c>
      <c r="E76" s="112">
        <f>IFERROR(VLOOKUP($B76,MMWR_TRAD_AGG_STATE_PEN[],E$1,0),"ERROR")</f>
        <v>364</v>
      </c>
      <c r="F76" s="113">
        <f>IFERROR(VLOOKUP($B76,MMWR_TRAD_AGG_STATE_PEN[],F$1,0),"ERROR")</f>
        <v>65</v>
      </c>
      <c r="G76" s="114">
        <f t="shared" si="8"/>
        <v>0.17857142857142858</v>
      </c>
      <c r="H76" s="112">
        <f>IFERROR(VLOOKUP($B76,MMWR_TRAD_AGG_STATE_PEN[],H$1,0),"ERROR")</f>
        <v>511</v>
      </c>
      <c r="I76" s="113">
        <f>IFERROR(VLOOKUP($B76,MMWR_TRAD_AGG_STATE_PEN[],I$1,0),"ERROR")</f>
        <v>129</v>
      </c>
      <c r="J76" s="115">
        <f t="shared" si="9"/>
        <v>0.25244618395303325</v>
      </c>
      <c r="K76" s="112">
        <f>IFERROR(VLOOKUP($B76,MMWR_TRAD_AGG_STATE_PEN[],K$1,0),"ERROR")</f>
        <v>22</v>
      </c>
      <c r="L76" s="113">
        <f>IFERROR(VLOOKUP($B76,MMWR_TRAD_AGG_STATE_PEN[],L$1,0),"ERROR")</f>
        <v>21</v>
      </c>
      <c r="M76" s="115">
        <f t="shared" si="10"/>
        <v>0.95454545454545459</v>
      </c>
      <c r="N76" s="112">
        <f>IFERROR(VLOOKUP($B76,MMWR_TRAD_AGG_STATE_PEN[],N$1,0),"ERROR")</f>
        <v>160</v>
      </c>
      <c r="O76" s="113">
        <f>IFERROR(VLOOKUP($B76,MMWR_TRAD_AGG_STATE_PEN[],O$1,0),"ERROR")</f>
        <v>23</v>
      </c>
      <c r="P76" s="115">
        <f t="shared" si="11"/>
        <v>0.14374999999999999</v>
      </c>
      <c r="Q76" s="116">
        <f>IFERROR(VLOOKUP($B76,MMWR_TRAD_AGG_STATE_PEN[],Q$1,0),"ERROR")</f>
        <v>63</v>
      </c>
      <c r="R76" s="116">
        <f>IFERROR(VLOOKUP($B76,MMWR_TRAD_AGG_STATE_PEN[],R$1,0),"ERROR")</f>
        <v>118</v>
      </c>
      <c r="S76" s="116">
        <f>IFERROR(VLOOKUP($B76,MMWR_APP_STATE_PEN[],S$1,0),"ERROR")</f>
        <v>116</v>
      </c>
      <c r="T76" s="28"/>
    </row>
    <row r="77" spans="1:20" s="124" customFormat="1" x14ac:dyDescent="0.2">
      <c r="A77" s="28"/>
      <c r="B77" s="128" t="s">
        <v>425</v>
      </c>
      <c r="C77" s="110">
        <f>IFERROR(VLOOKUP($B77,MMWR_TRAD_AGG_STATE_PEN[],C$1,0),"ERROR")</f>
        <v>84</v>
      </c>
      <c r="D77" s="111">
        <f>IFERROR(VLOOKUP($B77,MMWR_TRAD_AGG_STATE_PEN[],D$1,0),"ERROR")</f>
        <v>106.5833333333</v>
      </c>
      <c r="E77" s="112">
        <f>IFERROR(VLOOKUP($B77,MMWR_TRAD_AGG_STATE_PEN[],E$1,0),"ERROR")</f>
        <v>96</v>
      </c>
      <c r="F77" s="113">
        <f>IFERROR(VLOOKUP($B77,MMWR_TRAD_AGG_STATE_PEN[],F$1,0),"ERROR")</f>
        <v>14</v>
      </c>
      <c r="G77" s="114">
        <f t="shared" si="8"/>
        <v>0.14583333333333334</v>
      </c>
      <c r="H77" s="112">
        <f>IFERROR(VLOOKUP($B77,MMWR_TRAD_AGG_STATE_PEN[],H$1,0),"ERROR")</f>
        <v>125</v>
      </c>
      <c r="I77" s="113">
        <f>IFERROR(VLOOKUP($B77,MMWR_TRAD_AGG_STATE_PEN[],I$1,0),"ERROR")</f>
        <v>41</v>
      </c>
      <c r="J77" s="115">
        <f t="shared" si="9"/>
        <v>0.32800000000000001</v>
      </c>
      <c r="K77" s="112">
        <f>IFERROR(VLOOKUP($B77,MMWR_TRAD_AGG_STATE_PEN[],K$1,0),"ERROR")</f>
        <v>2</v>
      </c>
      <c r="L77" s="113">
        <f>IFERROR(VLOOKUP($B77,MMWR_TRAD_AGG_STATE_PEN[],L$1,0),"ERROR")</f>
        <v>2</v>
      </c>
      <c r="M77" s="115">
        <f t="shared" si="10"/>
        <v>1</v>
      </c>
      <c r="N77" s="112">
        <f>IFERROR(VLOOKUP($B77,MMWR_TRAD_AGG_STATE_PEN[],N$1,0),"ERROR")</f>
        <v>43</v>
      </c>
      <c r="O77" s="113">
        <f>IFERROR(VLOOKUP($B77,MMWR_TRAD_AGG_STATE_PEN[],O$1,0),"ERROR")</f>
        <v>5</v>
      </c>
      <c r="P77" s="115">
        <f t="shared" si="11"/>
        <v>0.11627906976744186</v>
      </c>
      <c r="Q77" s="116">
        <f>IFERROR(VLOOKUP($B77,MMWR_TRAD_AGG_STATE_PEN[],Q$1,0),"ERROR")</f>
        <v>16</v>
      </c>
      <c r="R77" s="116">
        <f>IFERROR(VLOOKUP($B77,MMWR_TRAD_AGG_STATE_PEN[],R$1,0),"ERROR")</f>
        <v>20</v>
      </c>
      <c r="S77" s="116">
        <f>IFERROR(VLOOKUP($B77,MMWR_APP_STATE_PEN[],S$1,0),"ERROR")</f>
        <v>24</v>
      </c>
      <c r="T77" s="28"/>
    </row>
    <row r="78" spans="1:20" s="124" customFormat="1" x14ac:dyDescent="0.2">
      <c r="A78" s="28"/>
      <c r="B78" s="128" t="s">
        <v>384</v>
      </c>
      <c r="C78" s="110">
        <f>IFERROR(VLOOKUP($B78,MMWR_TRAD_AGG_STATE_PEN[],C$1,0),"ERROR")</f>
        <v>419</v>
      </c>
      <c r="D78" s="111">
        <f>IFERROR(VLOOKUP($B78,MMWR_TRAD_AGG_STATE_PEN[],D$1,0),"ERROR")</f>
        <v>93.424821002399995</v>
      </c>
      <c r="E78" s="112">
        <f>IFERROR(VLOOKUP($B78,MMWR_TRAD_AGG_STATE_PEN[],E$1,0),"ERROR")</f>
        <v>487</v>
      </c>
      <c r="F78" s="113">
        <f>IFERROR(VLOOKUP($B78,MMWR_TRAD_AGG_STATE_PEN[],F$1,0),"ERROR")</f>
        <v>84</v>
      </c>
      <c r="G78" s="114">
        <f t="shared" si="8"/>
        <v>0.17248459958932238</v>
      </c>
      <c r="H78" s="112">
        <f>IFERROR(VLOOKUP($B78,MMWR_TRAD_AGG_STATE_PEN[],H$1,0),"ERROR")</f>
        <v>639</v>
      </c>
      <c r="I78" s="113">
        <f>IFERROR(VLOOKUP($B78,MMWR_TRAD_AGG_STATE_PEN[],I$1,0),"ERROR")</f>
        <v>155</v>
      </c>
      <c r="J78" s="115">
        <f t="shared" si="9"/>
        <v>0.24256651017214398</v>
      </c>
      <c r="K78" s="112">
        <f>IFERROR(VLOOKUP($B78,MMWR_TRAD_AGG_STATE_PEN[],K$1,0),"ERROR")</f>
        <v>18</v>
      </c>
      <c r="L78" s="113">
        <f>IFERROR(VLOOKUP($B78,MMWR_TRAD_AGG_STATE_PEN[],L$1,0),"ERROR")</f>
        <v>18</v>
      </c>
      <c r="M78" s="115">
        <f t="shared" si="10"/>
        <v>1</v>
      </c>
      <c r="N78" s="112">
        <f>IFERROR(VLOOKUP($B78,MMWR_TRAD_AGG_STATE_PEN[],N$1,0),"ERROR")</f>
        <v>208</v>
      </c>
      <c r="O78" s="113">
        <f>IFERROR(VLOOKUP($B78,MMWR_TRAD_AGG_STATE_PEN[],O$1,0),"ERROR")</f>
        <v>23</v>
      </c>
      <c r="P78" s="115">
        <f t="shared" si="11"/>
        <v>0.11057692307692307</v>
      </c>
      <c r="Q78" s="116">
        <f>IFERROR(VLOOKUP($B78,MMWR_TRAD_AGG_STATE_PEN[],Q$1,0),"ERROR")</f>
        <v>83</v>
      </c>
      <c r="R78" s="116">
        <f>IFERROR(VLOOKUP($B78,MMWR_TRAD_AGG_STATE_PEN[],R$1,0),"ERROR")</f>
        <v>157</v>
      </c>
      <c r="S78" s="116">
        <f>IFERROR(VLOOKUP($B78,MMWR_APP_STATE_PEN[],S$1,0),"ERROR")</f>
        <v>172</v>
      </c>
      <c r="T78" s="28"/>
    </row>
    <row r="79" spans="1:20" s="124" customFormat="1" x14ac:dyDescent="0.2">
      <c r="A79" s="28"/>
      <c r="B79" s="128" t="s">
        <v>63</v>
      </c>
      <c r="C79" s="110">
        <f>IFERROR(VLOOKUP($B79,MMWR_TRAD_AGG_STATE_PEN[],C$1,0),"ERROR")</f>
        <v>1046</v>
      </c>
      <c r="D79" s="111">
        <f>IFERROR(VLOOKUP($B79,MMWR_TRAD_AGG_STATE_PEN[],D$1,0),"ERROR")</f>
        <v>99.695984703600004</v>
      </c>
      <c r="E79" s="112">
        <f>IFERROR(VLOOKUP($B79,MMWR_TRAD_AGG_STATE_PEN[],E$1,0),"ERROR")</f>
        <v>1355</v>
      </c>
      <c r="F79" s="113">
        <f>IFERROR(VLOOKUP($B79,MMWR_TRAD_AGG_STATE_PEN[],F$1,0),"ERROR")</f>
        <v>260</v>
      </c>
      <c r="G79" s="114">
        <f t="shared" si="8"/>
        <v>0.1918819188191882</v>
      </c>
      <c r="H79" s="112">
        <f>IFERROR(VLOOKUP($B79,MMWR_TRAD_AGG_STATE_PEN[],H$1,0),"ERROR")</f>
        <v>1756</v>
      </c>
      <c r="I79" s="113">
        <f>IFERROR(VLOOKUP($B79,MMWR_TRAD_AGG_STATE_PEN[],I$1,0),"ERROR")</f>
        <v>474</v>
      </c>
      <c r="J79" s="115">
        <f t="shared" si="9"/>
        <v>0.26993166287015946</v>
      </c>
      <c r="K79" s="112">
        <f>IFERROR(VLOOKUP($B79,MMWR_TRAD_AGG_STATE_PEN[],K$1,0),"ERROR")</f>
        <v>67</v>
      </c>
      <c r="L79" s="113">
        <f>IFERROR(VLOOKUP($B79,MMWR_TRAD_AGG_STATE_PEN[],L$1,0),"ERROR")</f>
        <v>66</v>
      </c>
      <c r="M79" s="115">
        <f t="shared" si="10"/>
        <v>0.9850746268656716</v>
      </c>
      <c r="N79" s="112">
        <f>IFERROR(VLOOKUP($B79,MMWR_TRAD_AGG_STATE_PEN[],N$1,0),"ERROR")</f>
        <v>467</v>
      </c>
      <c r="O79" s="113">
        <f>IFERROR(VLOOKUP($B79,MMWR_TRAD_AGG_STATE_PEN[],O$1,0),"ERROR")</f>
        <v>72</v>
      </c>
      <c r="P79" s="115">
        <f t="shared" si="11"/>
        <v>0.15417558886509636</v>
      </c>
      <c r="Q79" s="116">
        <f>IFERROR(VLOOKUP($B79,MMWR_TRAD_AGG_STATE_PEN[],Q$1,0),"ERROR")</f>
        <v>158</v>
      </c>
      <c r="R79" s="116">
        <f>IFERROR(VLOOKUP($B79,MMWR_TRAD_AGG_STATE_PEN[],R$1,0),"ERROR")</f>
        <v>287</v>
      </c>
      <c r="S79" s="116">
        <f>IFERROR(VLOOKUP($B79,MMWR_APP_STATE_PEN[],S$1,0),"ERROR")</f>
        <v>260</v>
      </c>
      <c r="T79" s="28"/>
    </row>
    <row r="80" spans="1:20" s="124" customFormat="1" x14ac:dyDescent="0.2">
      <c r="A80" s="28"/>
      <c r="B80" s="128" t="s">
        <v>392</v>
      </c>
      <c r="C80" s="110">
        <f>IFERROR(VLOOKUP($B80,MMWR_TRAD_AGG_STATE_PEN[],C$1,0),"ERROR")</f>
        <v>1303</v>
      </c>
      <c r="D80" s="111">
        <f>IFERROR(VLOOKUP($B80,MMWR_TRAD_AGG_STATE_PEN[],D$1,0),"ERROR")</f>
        <v>104.1258633922</v>
      </c>
      <c r="E80" s="112">
        <f>IFERROR(VLOOKUP($B80,MMWR_TRAD_AGG_STATE_PEN[],E$1,0),"ERROR")</f>
        <v>919</v>
      </c>
      <c r="F80" s="113">
        <f>IFERROR(VLOOKUP($B80,MMWR_TRAD_AGG_STATE_PEN[],F$1,0),"ERROR")</f>
        <v>164</v>
      </c>
      <c r="G80" s="114">
        <f t="shared" si="8"/>
        <v>0.17845484221980412</v>
      </c>
      <c r="H80" s="112">
        <f>IFERROR(VLOOKUP($B80,MMWR_TRAD_AGG_STATE_PEN[],H$1,0),"ERROR")</f>
        <v>2422</v>
      </c>
      <c r="I80" s="113">
        <f>IFERROR(VLOOKUP($B80,MMWR_TRAD_AGG_STATE_PEN[],I$1,0),"ERROR")</f>
        <v>525</v>
      </c>
      <c r="J80" s="115">
        <f t="shared" si="9"/>
        <v>0.21676300578034682</v>
      </c>
      <c r="K80" s="112">
        <f>IFERROR(VLOOKUP($B80,MMWR_TRAD_AGG_STATE_PEN[],K$1,0),"ERROR")</f>
        <v>71</v>
      </c>
      <c r="L80" s="113">
        <f>IFERROR(VLOOKUP($B80,MMWR_TRAD_AGG_STATE_PEN[],L$1,0),"ERROR")</f>
        <v>65</v>
      </c>
      <c r="M80" s="115">
        <f t="shared" si="10"/>
        <v>0.91549295774647887</v>
      </c>
      <c r="N80" s="112">
        <f>IFERROR(VLOOKUP($B80,MMWR_TRAD_AGG_STATE_PEN[],N$1,0),"ERROR")</f>
        <v>511</v>
      </c>
      <c r="O80" s="113">
        <f>IFERROR(VLOOKUP($B80,MMWR_TRAD_AGG_STATE_PEN[],O$1,0),"ERROR")</f>
        <v>87</v>
      </c>
      <c r="P80" s="115">
        <f t="shared" si="11"/>
        <v>0.17025440313111545</v>
      </c>
      <c r="Q80" s="116">
        <f>IFERROR(VLOOKUP($B80,MMWR_TRAD_AGG_STATE_PEN[],Q$1,0),"ERROR")</f>
        <v>201</v>
      </c>
      <c r="R80" s="116">
        <f>IFERROR(VLOOKUP($B80,MMWR_TRAD_AGG_STATE_PEN[],R$1,0),"ERROR")</f>
        <v>302</v>
      </c>
      <c r="S80" s="116">
        <f>IFERROR(VLOOKUP($B80,MMWR_APP_STATE_PEN[],S$1,0),"ERROR")</f>
        <v>231</v>
      </c>
      <c r="T80" s="28"/>
    </row>
    <row r="81" spans="1:20" s="124" customFormat="1" x14ac:dyDescent="0.2">
      <c r="A81" s="28"/>
      <c r="B81" s="128" t="s">
        <v>385</v>
      </c>
      <c r="C81" s="110">
        <f>IFERROR(VLOOKUP($B81,MMWR_TRAD_AGG_STATE_PEN[],C$1,0),"ERROR")</f>
        <v>1436</v>
      </c>
      <c r="D81" s="111">
        <f>IFERROR(VLOOKUP($B81,MMWR_TRAD_AGG_STATE_PEN[],D$1,0),"ERROR")</f>
        <v>97.829387186600002</v>
      </c>
      <c r="E81" s="112">
        <f>IFERROR(VLOOKUP($B81,MMWR_TRAD_AGG_STATE_PEN[],E$1,0),"ERROR")</f>
        <v>1656</v>
      </c>
      <c r="F81" s="113">
        <f>IFERROR(VLOOKUP($B81,MMWR_TRAD_AGG_STATE_PEN[],F$1,0),"ERROR")</f>
        <v>282</v>
      </c>
      <c r="G81" s="114">
        <f t="shared" si="8"/>
        <v>0.17028985507246377</v>
      </c>
      <c r="H81" s="112">
        <f>IFERROR(VLOOKUP($B81,MMWR_TRAD_AGG_STATE_PEN[],H$1,0),"ERROR")</f>
        <v>2288</v>
      </c>
      <c r="I81" s="113">
        <f>IFERROR(VLOOKUP($B81,MMWR_TRAD_AGG_STATE_PEN[],I$1,0),"ERROR")</f>
        <v>578</v>
      </c>
      <c r="J81" s="115">
        <f t="shared" si="9"/>
        <v>0.2526223776223776</v>
      </c>
      <c r="K81" s="112">
        <f>IFERROR(VLOOKUP($B81,MMWR_TRAD_AGG_STATE_PEN[],K$1,0),"ERROR")</f>
        <v>58</v>
      </c>
      <c r="L81" s="113">
        <f>IFERROR(VLOOKUP($B81,MMWR_TRAD_AGG_STATE_PEN[],L$1,0),"ERROR")</f>
        <v>58</v>
      </c>
      <c r="M81" s="115">
        <f t="shared" si="10"/>
        <v>1</v>
      </c>
      <c r="N81" s="112">
        <f>IFERROR(VLOOKUP($B81,MMWR_TRAD_AGG_STATE_PEN[],N$1,0),"ERROR")</f>
        <v>559</v>
      </c>
      <c r="O81" s="113">
        <f>IFERROR(VLOOKUP($B81,MMWR_TRAD_AGG_STATE_PEN[],O$1,0),"ERROR")</f>
        <v>82</v>
      </c>
      <c r="P81" s="115">
        <f t="shared" si="11"/>
        <v>0.14669051878354203</v>
      </c>
      <c r="Q81" s="116">
        <f>IFERROR(VLOOKUP($B81,MMWR_TRAD_AGG_STATE_PEN[],Q$1,0),"ERROR")</f>
        <v>164</v>
      </c>
      <c r="R81" s="116">
        <f>IFERROR(VLOOKUP($B81,MMWR_TRAD_AGG_STATE_PEN[],R$1,0),"ERROR")</f>
        <v>335</v>
      </c>
      <c r="S81" s="116">
        <f>IFERROR(VLOOKUP($B81,MMWR_APP_STATE_PEN[],S$1,0),"ERROR")</f>
        <v>280</v>
      </c>
      <c r="T81" s="28"/>
    </row>
    <row r="82" spans="1:20" s="124" customFormat="1" x14ac:dyDescent="0.2">
      <c r="A82" s="28"/>
      <c r="B82" s="128" t="s">
        <v>382</v>
      </c>
      <c r="C82" s="110">
        <f>IFERROR(VLOOKUP($B82,MMWR_TRAD_AGG_STATE_PEN[],C$1,0),"ERROR")</f>
        <v>58</v>
      </c>
      <c r="D82" s="111">
        <f>IFERROR(VLOOKUP($B82,MMWR_TRAD_AGG_STATE_PEN[],D$1,0),"ERROR")</f>
        <v>96.120689655199996</v>
      </c>
      <c r="E82" s="112">
        <f>IFERROR(VLOOKUP($B82,MMWR_TRAD_AGG_STATE_PEN[],E$1,0),"ERROR")</f>
        <v>117</v>
      </c>
      <c r="F82" s="113">
        <f>IFERROR(VLOOKUP($B82,MMWR_TRAD_AGG_STATE_PEN[],F$1,0),"ERROR")</f>
        <v>17</v>
      </c>
      <c r="G82" s="114">
        <f t="shared" si="8"/>
        <v>0.14529914529914531</v>
      </c>
      <c r="H82" s="112">
        <f>IFERROR(VLOOKUP($B82,MMWR_TRAD_AGG_STATE_PEN[],H$1,0),"ERROR")</f>
        <v>98</v>
      </c>
      <c r="I82" s="113">
        <f>IFERROR(VLOOKUP($B82,MMWR_TRAD_AGG_STATE_PEN[],I$1,0),"ERROR")</f>
        <v>23</v>
      </c>
      <c r="J82" s="115">
        <f t="shared" si="9"/>
        <v>0.23469387755102042</v>
      </c>
      <c r="K82" s="112">
        <f>IFERROR(VLOOKUP($B82,MMWR_TRAD_AGG_STATE_PEN[],K$1,0),"ERROR")</f>
        <v>6</v>
      </c>
      <c r="L82" s="113">
        <f>IFERROR(VLOOKUP($B82,MMWR_TRAD_AGG_STATE_PEN[],L$1,0),"ERROR")</f>
        <v>6</v>
      </c>
      <c r="M82" s="115">
        <f t="shared" si="10"/>
        <v>1</v>
      </c>
      <c r="N82" s="112">
        <f>IFERROR(VLOOKUP($B82,MMWR_TRAD_AGG_STATE_PEN[],N$1,0),"ERROR")</f>
        <v>37</v>
      </c>
      <c r="O82" s="113">
        <f>IFERROR(VLOOKUP($B82,MMWR_TRAD_AGG_STATE_PEN[],O$1,0),"ERROR")</f>
        <v>3</v>
      </c>
      <c r="P82" s="115">
        <f t="shared" si="11"/>
        <v>8.1081081081081086E-2</v>
      </c>
      <c r="Q82" s="116">
        <f>IFERROR(VLOOKUP($B82,MMWR_TRAD_AGG_STATE_PEN[],Q$1,0),"ERROR")</f>
        <v>20</v>
      </c>
      <c r="R82" s="116">
        <f>IFERROR(VLOOKUP($B82,MMWR_TRAD_AGG_STATE_PEN[],R$1,0),"ERROR")</f>
        <v>21</v>
      </c>
      <c r="S82" s="116">
        <f>IFERROR(VLOOKUP($B82,MMWR_APP_STATE_PEN[],S$1,0),"ERROR")</f>
        <v>22</v>
      </c>
      <c r="T82" s="28"/>
    </row>
    <row r="83" spans="1:20" s="124" customFormat="1" x14ac:dyDescent="0.2">
      <c r="A83" s="28"/>
      <c r="B83" s="128" t="s">
        <v>427</v>
      </c>
      <c r="C83" s="110">
        <f>IFERROR(VLOOKUP($B83,MMWR_TRAD_AGG_STATE_PEN[],C$1,0),"ERROR")</f>
        <v>31</v>
      </c>
      <c r="D83" s="111">
        <f>IFERROR(VLOOKUP($B83,MMWR_TRAD_AGG_STATE_PEN[],D$1,0),"ERROR")</f>
        <v>111.67741935479999</v>
      </c>
      <c r="E83" s="112">
        <f>IFERROR(VLOOKUP($B83,MMWR_TRAD_AGG_STATE_PEN[],E$1,0),"ERROR")</f>
        <v>29</v>
      </c>
      <c r="F83" s="113">
        <f>IFERROR(VLOOKUP($B83,MMWR_TRAD_AGG_STATE_PEN[],F$1,0),"ERROR")</f>
        <v>4</v>
      </c>
      <c r="G83" s="114">
        <f t="shared" si="8"/>
        <v>0.13793103448275862</v>
      </c>
      <c r="H83" s="112">
        <f>IFERROR(VLOOKUP($B83,MMWR_TRAD_AGG_STATE_PEN[],H$1,0),"ERROR")</f>
        <v>46</v>
      </c>
      <c r="I83" s="113">
        <f>IFERROR(VLOOKUP($B83,MMWR_TRAD_AGG_STATE_PEN[],I$1,0),"ERROR")</f>
        <v>18</v>
      </c>
      <c r="J83" s="115">
        <f t="shared" si="9"/>
        <v>0.39130434782608697</v>
      </c>
      <c r="K83" s="112">
        <f>IFERROR(VLOOKUP($B83,MMWR_TRAD_AGG_STATE_PEN[],K$1,0),"ERROR")</f>
        <v>2</v>
      </c>
      <c r="L83" s="113">
        <f>IFERROR(VLOOKUP($B83,MMWR_TRAD_AGG_STATE_PEN[],L$1,0),"ERROR")</f>
        <v>2</v>
      </c>
      <c r="M83" s="115">
        <f t="shared" si="10"/>
        <v>1</v>
      </c>
      <c r="N83" s="112">
        <f>IFERROR(VLOOKUP($B83,MMWR_TRAD_AGG_STATE_PEN[],N$1,0),"ERROR")</f>
        <v>16</v>
      </c>
      <c r="O83" s="113">
        <f>IFERROR(VLOOKUP($B83,MMWR_TRAD_AGG_STATE_PEN[],O$1,0),"ERROR")</f>
        <v>2</v>
      </c>
      <c r="P83" s="115">
        <f t="shared" si="11"/>
        <v>0.125</v>
      </c>
      <c r="Q83" s="116">
        <f>IFERROR(VLOOKUP($B83,MMWR_TRAD_AGG_STATE_PEN[],Q$1,0),"ERROR")</f>
        <v>9</v>
      </c>
      <c r="R83" s="116">
        <f>IFERROR(VLOOKUP($B83,MMWR_TRAD_AGG_STATE_PEN[],R$1,0),"ERROR")</f>
        <v>5</v>
      </c>
      <c r="S83" s="116">
        <f>IFERROR(VLOOKUP($B83,MMWR_APP_STATE_PEN[],S$1,0),"ERROR")</f>
        <v>6</v>
      </c>
      <c r="T83" s="28"/>
    </row>
    <row r="84" spans="1:20" s="124" customFormat="1" x14ac:dyDescent="0.2">
      <c r="A84" s="28"/>
      <c r="B84" s="128" t="s">
        <v>388</v>
      </c>
      <c r="C84" s="110">
        <f>IFERROR(VLOOKUP($B84,MMWR_TRAD_AGG_STATE_PEN[],C$1,0),"ERROR")</f>
        <v>703</v>
      </c>
      <c r="D84" s="111">
        <f>IFERROR(VLOOKUP($B84,MMWR_TRAD_AGG_STATE_PEN[],D$1,0),"ERROR")</f>
        <v>92.844950213399997</v>
      </c>
      <c r="E84" s="112">
        <f>IFERROR(VLOOKUP($B84,MMWR_TRAD_AGG_STATE_PEN[],E$1,0),"ERROR")</f>
        <v>588</v>
      </c>
      <c r="F84" s="113">
        <f>IFERROR(VLOOKUP($B84,MMWR_TRAD_AGG_STATE_PEN[],F$1,0),"ERROR")</f>
        <v>113</v>
      </c>
      <c r="G84" s="114">
        <f t="shared" si="8"/>
        <v>0.19217687074829931</v>
      </c>
      <c r="H84" s="112">
        <f>IFERROR(VLOOKUP($B84,MMWR_TRAD_AGG_STATE_PEN[],H$1,0),"ERROR")</f>
        <v>1113</v>
      </c>
      <c r="I84" s="113">
        <f>IFERROR(VLOOKUP($B84,MMWR_TRAD_AGG_STATE_PEN[],I$1,0),"ERROR")</f>
        <v>244</v>
      </c>
      <c r="J84" s="115">
        <f t="shared" si="9"/>
        <v>0.2192273135669362</v>
      </c>
      <c r="K84" s="112">
        <f>IFERROR(VLOOKUP($B84,MMWR_TRAD_AGG_STATE_PEN[],K$1,0),"ERROR")</f>
        <v>162</v>
      </c>
      <c r="L84" s="113">
        <f>IFERROR(VLOOKUP($B84,MMWR_TRAD_AGG_STATE_PEN[],L$1,0),"ERROR")</f>
        <v>162</v>
      </c>
      <c r="M84" s="115">
        <f t="shared" si="10"/>
        <v>1</v>
      </c>
      <c r="N84" s="112">
        <f>IFERROR(VLOOKUP($B84,MMWR_TRAD_AGG_STATE_PEN[],N$1,0),"ERROR")</f>
        <v>285</v>
      </c>
      <c r="O84" s="113">
        <f>IFERROR(VLOOKUP($B84,MMWR_TRAD_AGG_STATE_PEN[],O$1,0),"ERROR")</f>
        <v>42</v>
      </c>
      <c r="P84" s="115">
        <f t="shared" si="11"/>
        <v>0.14736842105263157</v>
      </c>
      <c r="Q84" s="116">
        <f>IFERROR(VLOOKUP($B84,MMWR_TRAD_AGG_STATE_PEN[],Q$1,0),"ERROR")</f>
        <v>154</v>
      </c>
      <c r="R84" s="116">
        <f>IFERROR(VLOOKUP($B84,MMWR_TRAD_AGG_STATE_PEN[],R$1,0),"ERROR")</f>
        <v>209</v>
      </c>
      <c r="S84" s="116">
        <f>IFERROR(VLOOKUP($B84,MMWR_APP_STATE_PEN[],S$1,0),"ERROR")</f>
        <v>152</v>
      </c>
      <c r="T84" s="28"/>
    </row>
    <row r="85" spans="1:20" s="124" customFormat="1" x14ac:dyDescent="0.2">
      <c r="A85" s="28"/>
      <c r="B85" s="128" t="s">
        <v>389</v>
      </c>
      <c r="C85" s="110">
        <f>IFERROR(VLOOKUP($B85,MMWR_TRAD_AGG_STATE_PEN[],C$1,0),"ERROR")</f>
        <v>241</v>
      </c>
      <c r="D85" s="111">
        <f>IFERROR(VLOOKUP($B85,MMWR_TRAD_AGG_STATE_PEN[],D$1,0),"ERROR")</f>
        <v>99.182572614099996</v>
      </c>
      <c r="E85" s="112">
        <f>IFERROR(VLOOKUP($B85,MMWR_TRAD_AGG_STATE_PEN[],E$1,0),"ERROR")</f>
        <v>176</v>
      </c>
      <c r="F85" s="113">
        <f>IFERROR(VLOOKUP($B85,MMWR_TRAD_AGG_STATE_PEN[],F$1,0),"ERROR")</f>
        <v>30</v>
      </c>
      <c r="G85" s="114">
        <f t="shared" si="8"/>
        <v>0.17045454545454544</v>
      </c>
      <c r="H85" s="112">
        <f>IFERROR(VLOOKUP($B85,MMWR_TRAD_AGG_STATE_PEN[],H$1,0),"ERROR")</f>
        <v>350</v>
      </c>
      <c r="I85" s="113">
        <f>IFERROR(VLOOKUP($B85,MMWR_TRAD_AGG_STATE_PEN[],I$1,0),"ERROR")</f>
        <v>85</v>
      </c>
      <c r="J85" s="115">
        <f t="shared" si="9"/>
        <v>0.24285714285714285</v>
      </c>
      <c r="K85" s="112">
        <f>IFERROR(VLOOKUP($B85,MMWR_TRAD_AGG_STATE_PEN[],K$1,0),"ERROR")</f>
        <v>16</v>
      </c>
      <c r="L85" s="113">
        <f>IFERROR(VLOOKUP($B85,MMWR_TRAD_AGG_STATE_PEN[],L$1,0),"ERROR")</f>
        <v>15</v>
      </c>
      <c r="M85" s="115">
        <f t="shared" si="10"/>
        <v>0.9375</v>
      </c>
      <c r="N85" s="112">
        <f>IFERROR(VLOOKUP($B85,MMWR_TRAD_AGG_STATE_PEN[],N$1,0),"ERROR")</f>
        <v>83</v>
      </c>
      <c r="O85" s="113">
        <f>IFERROR(VLOOKUP($B85,MMWR_TRAD_AGG_STATE_PEN[],O$1,0),"ERROR")</f>
        <v>13</v>
      </c>
      <c r="P85" s="115">
        <f t="shared" si="11"/>
        <v>0.15662650602409639</v>
      </c>
      <c r="Q85" s="116">
        <f>IFERROR(VLOOKUP($B85,MMWR_TRAD_AGG_STATE_PEN[],Q$1,0),"ERROR")</f>
        <v>50</v>
      </c>
      <c r="R85" s="116">
        <f>IFERROR(VLOOKUP($B85,MMWR_TRAD_AGG_STATE_PEN[],R$1,0),"ERROR")</f>
        <v>61</v>
      </c>
      <c r="S85" s="116">
        <f>IFERROR(VLOOKUP($B85,MMWR_APP_STATE_PEN[],S$1,0),"ERROR")</f>
        <v>43</v>
      </c>
      <c r="T85" s="28"/>
    </row>
    <row r="86" spans="1:20" s="124" customFormat="1" x14ac:dyDescent="0.2">
      <c r="A86" s="28"/>
      <c r="B86" s="127" t="s">
        <v>400</v>
      </c>
      <c r="C86" s="103">
        <f>IFERROR(VLOOKUP($B86,MMWR_TRAD_AGG_ST_DISTRICT_PEN[],C$1,0),"ERROR")</f>
        <v>2927</v>
      </c>
      <c r="D86" s="104">
        <f>IFERROR(VLOOKUP($B86,MMWR_TRAD_AGG_ST_DISTRICT_PEN[],D$1,0),"ERROR")</f>
        <v>56.691834643</v>
      </c>
      <c r="E86" s="103">
        <f>IFERROR(VLOOKUP($B86,MMWR_TRAD_AGG_ST_DISTRICT_PEN[],E$1,0),"ERROR")</f>
        <v>4376</v>
      </c>
      <c r="F86" s="103">
        <f>IFERROR(VLOOKUP($B86,MMWR_TRAD_AGG_ST_DISTRICT_PEN[],F$1,0),"ERROR")</f>
        <v>257</v>
      </c>
      <c r="G86" s="105">
        <f t="shared" si="8"/>
        <v>5.8729433272394882E-2</v>
      </c>
      <c r="H86" s="103">
        <f>IFERROR(VLOOKUP($B86,MMWR_TRAD_AGG_ST_DISTRICT_PEN[],H$1,0),"ERROR")</f>
        <v>4900</v>
      </c>
      <c r="I86" s="103">
        <f>IFERROR(VLOOKUP($B86,MMWR_TRAD_AGG_ST_DISTRICT_PEN[],I$1,0),"ERROR")</f>
        <v>397</v>
      </c>
      <c r="J86" s="105">
        <f t="shared" si="9"/>
        <v>8.1020408163265306E-2</v>
      </c>
      <c r="K86" s="103">
        <f>IFERROR(VLOOKUP($B86,MMWR_TRAD_AGG_ST_DISTRICT_PEN[],K$1,0),"ERROR")</f>
        <v>41</v>
      </c>
      <c r="L86" s="103">
        <f>IFERROR(VLOOKUP($B86,MMWR_TRAD_AGG_ST_DISTRICT_PEN[],L$1,0),"ERROR")</f>
        <v>39</v>
      </c>
      <c r="M86" s="105">
        <f t="shared" si="10"/>
        <v>0.95121951219512191</v>
      </c>
      <c r="N86" s="103">
        <f>IFERROR(VLOOKUP($B86,MMWR_TRAD_AGG_ST_DISTRICT_PEN[],N$1,0),"ERROR")</f>
        <v>325</v>
      </c>
      <c r="O86" s="103">
        <f>IFERROR(VLOOKUP($B86,MMWR_TRAD_AGG_ST_DISTRICT_PEN[],O$1,0),"ERROR")</f>
        <v>95</v>
      </c>
      <c r="P86" s="105">
        <f t="shared" si="11"/>
        <v>0.29230769230769232</v>
      </c>
      <c r="Q86" s="103">
        <f>IFERROR(VLOOKUP($B86,MMWR_TRAD_AGG_ST_DISTRICT_PEN[],Q$1,0),"ERROR")</f>
        <v>3136</v>
      </c>
      <c r="R86" s="107">
        <f>IFERROR(VLOOKUP($B86,MMWR_TRAD_AGG_ST_DISTRICT_PEN[],R$1,0),"ERROR")</f>
        <v>413</v>
      </c>
      <c r="S86" s="107">
        <f>IFERROR(VLOOKUP($B86,MMWR_APP_STATE_PEN[],S$1,0),"ERROR")</f>
        <v>1320</v>
      </c>
      <c r="T86" s="28"/>
    </row>
    <row r="87" spans="1:20" s="124" customFormat="1" x14ac:dyDescent="0.2">
      <c r="A87" s="28"/>
      <c r="B87" s="128" t="s">
        <v>404</v>
      </c>
      <c r="C87" s="110">
        <f>IFERROR(VLOOKUP($B87,MMWR_TRAD_AGG_STATE_PEN[],C$1,0),"ERROR")</f>
        <v>402</v>
      </c>
      <c r="D87" s="111">
        <f>IFERROR(VLOOKUP($B87,MMWR_TRAD_AGG_STATE_PEN[],D$1,0),"ERROR")</f>
        <v>51.5472636816</v>
      </c>
      <c r="E87" s="112">
        <f>IFERROR(VLOOKUP($B87,MMWR_TRAD_AGG_STATE_PEN[],E$1,0),"ERROR")</f>
        <v>614</v>
      </c>
      <c r="F87" s="113">
        <f>IFERROR(VLOOKUP($B87,MMWR_TRAD_AGG_STATE_PEN[],F$1,0),"ERROR")</f>
        <v>42</v>
      </c>
      <c r="G87" s="114">
        <f t="shared" si="8"/>
        <v>6.8403908794788276E-2</v>
      </c>
      <c r="H87" s="112">
        <f>IFERROR(VLOOKUP($B87,MMWR_TRAD_AGG_STATE_PEN[],H$1,0),"ERROR")</f>
        <v>602</v>
      </c>
      <c r="I87" s="113">
        <f>IFERROR(VLOOKUP($B87,MMWR_TRAD_AGG_STATE_PEN[],I$1,0),"ERROR")</f>
        <v>40</v>
      </c>
      <c r="J87" s="115">
        <f t="shared" si="9"/>
        <v>6.6445182724252497E-2</v>
      </c>
      <c r="K87" s="112">
        <f>IFERROR(VLOOKUP($B87,MMWR_TRAD_AGG_STATE_PEN[],K$1,0),"ERROR")</f>
        <v>8</v>
      </c>
      <c r="L87" s="113">
        <f>IFERROR(VLOOKUP($B87,MMWR_TRAD_AGG_STATE_PEN[],L$1,0),"ERROR")</f>
        <v>7</v>
      </c>
      <c r="M87" s="115">
        <f t="shared" si="10"/>
        <v>0.875</v>
      </c>
      <c r="N87" s="112">
        <f>IFERROR(VLOOKUP($B87,MMWR_TRAD_AGG_STATE_PEN[],N$1,0),"ERROR")</f>
        <v>58</v>
      </c>
      <c r="O87" s="113">
        <f>IFERROR(VLOOKUP($B87,MMWR_TRAD_AGG_STATE_PEN[],O$1,0),"ERROR")</f>
        <v>26</v>
      </c>
      <c r="P87" s="115">
        <f t="shared" si="11"/>
        <v>0.44827586206896552</v>
      </c>
      <c r="Q87" s="116">
        <f>IFERROR(VLOOKUP($B87,MMWR_TRAD_AGG_STATE_PEN[],Q$1,0),"ERROR")</f>
        <v>402</v>
      </c>
      <c r="R87" s="116">
        <f>IFERROR(VLOOKUP($B87,MMWR_TRAD_AGG_STATE_PEN[],R$1,0),"ERROR")</f>
        <v>44</v>
      </c>
      <c r="S87" s="116">
        <f>IFERROR(VLOOKUP($B87,MMWR_APP_STATE_PEN[],S$1,0),"ERROR")</f>
        <v>322</v>
      </c>
      <c r="T87" s="28"/>
    </row>
    <row r="88" spans="1:20" s="124" customFormat="1" x14ac:dyDescent="0.2">
      <c r="A88" s="28"/>
      <c r="B88" s="128" t="s">
        <v>402</v>
      </c>
      <c r="C88" s="110">
        <f>IFERROR(VLOOKUP($B88,MMWR_TRAD_AGG_STATE_PEN[],C$1,0),"ERROR")</f>
        <v>297</v>
      </c>
      <c r="D88" s="111">
        <f>IFERROR(VLOOKUP($B88,MMWR_TRAD_AGG_STATE_PEN[],D$1,0),"ERROR")</f>
        <v>64.818181818200003</v>
      </c>
      <c r="E88" s="112">
        <f>IFERROR(VLOOKUP($B88,MMWR_TRAD_AGG_STATE_PEN[],E$1,0),"ERROR")</f>
        <v>455</v>
      </c>
      <c r="F88" s="113">
        <f>IFERROR(VLOOKUP($B88,MMWR_TRAD_AGG_STATE_PEN[],F$1,0),"ERROR")</f>
        <v>27</v>
      </c>
      <c r="G88" s="114">
        <f t="shared" si="8"/>
        <v>5.9340659340659338E-2</v>
      </c>
      <c r="H88" s="112">
        <f>IFERROR(VLOOKUP($B88,MMWR_TRAD_AGG_STATE_PEN[],H$1,0),"ERROR")</f>
        <v>503</v>
      </c>
      <c r="I88" s="113">
        <f>IFERROR(VLOOKUP($B88,MMWR_TRAD_AGG_STATE_PEN[],I$1,0),"ERROR")</f>
        <v>50</v>
      </c>
      <c r="J88" s="115">
        <f t="shared" si="9"/>
        <v>9.9403578528827044E-2</v>
      </c>
      <c r="K88" s="112">
        <f>IFERROR(VLOOKUP($B88,MMWR_TRAD_AGG_STATE_PEN[],K$1,0),"ERROR")</f>
        <v>6</v>
      </c>
      <c r="L88" s="113">
        <f>IFERROR(VLOOKUP($B88,MMWR_TRAD_AGG_STATE_PEN[],L$1,0),"ERROR")</f>
        <v>6</v>
      </c>
      <c r="M88" s="115">
        <f t="shared" si="10"/>
        <v>1</v>
      </c>
      <c r="N88" s="112">
        <f>IFERROR(VLOOKUP($B88,MMWR_TRAD_AGG_STATE_PEN[],N$1,0),"ERROR")</f>
        <v>46</v>
      </c>
      <c r="O88" s="113">
        <f>IFERROR(VLOOKUP($B88,MMWR_TRAD_AGG_STATE_PEN[],O$1,0),"ERROR")</f>
        <v>14</v>
      </c>
      <c r="P88" s="115">
        <f t="shared" si="11"/>
        <v>0.30434782608695654</v>
      </c>
      <c r="Q88" s="116">
        <f>IFERROR(VLOOKUP($B88,MMWR_TRAD_AGG_STATE_PEN[],Q$1,0),"ERROR")</f>
        <v>335</v>
      </c>
      <c r="R88" s="116">
        <f>IFERROR(VLOOKUP($B88,MMWR_TRAD_AGG_STATE_PEN[],R$1,0),"ERROR")</f>
        <v>34</v>
      </c>
      <c r="S88" s="116">
        <f>IFERROR(VLOOKUP($B88,MMWR_APP_STATE_PEN[],S$1,0),"ERROR")</f>
        <v>119</v>
      </c>
      <c r="T88" s="28"/>
    </row>
    <row r="89" spans="1:20" s="124" customFormat="1" x14ac:dyDescent="0.2">
      <c r="A89" s="28"/>
      <c r="B89" s="128" t="s">
        <v>409</v>
      </c>
      <c r="C89" s="110">
        <f>IFERROR(VLOOKUP($B89,MMWR_TRAD_AGG_STATE_PEN[],C$1,0),"ERROR")</f>
        <v>123</v>
      </c>
      <c r="D89" s="111">
        <f>IFERROR(VLOOKUP($B89,MMWR_TRAD_AGG_STATE_PEN[],D$1,0),"ERROR")</f>
        <v>47.902439024400003</v>
      </c>
      <c r="E89" s="112">
        <f>IFERROR(VLOOKUP($B89,MMWR_TRAD_AGG_STATE_PEN[],E$1,0),"ERROR")</f>
        <v>274</v>
      </c>
      <c r="F89" s="113">
        <f>IFERROR(VLOOKUP($B89,MMWR_TRAD_AGG_STATE_PEN[],F$1,0),"ERROR")</f>
        <v>4</v>
      </c>
      <c r="G89" s="114">
        <f t="shared" si="8"/>
        <v>1.4598540145985401E-2</v>
      </c>
      <c r="H89" s="112">
        <f>IFERROR(VLOOKUP($B89,MMWR_TRAD_AGG_STATE_PEN[],H$1,0),"ERROR")</f>
        <v>215</v>
      </c>
      <c r="I89" s="113">
        <f>IFERROR(VLOOKUP($B89,MMWR_TRAD_AGG_STATE_PEN[],I$1,0),"ERROR")</f>
        <v>6</v>
      </c>
      <c r="J89" s="115">
        <f t="shared" si="9"/>
        <v>2.7906976744186046E-2</v>
      </c>
      <c r="K89" s="112">
        <f>IFERROR(VLOOKUP($B89,MMWR_TRAD_AGG_STATE_PEN[],K$1,0),"ERROR")</f>
        <v>0</v>
      </c>
      <c r="L89" s="113">
        <f>IFERROR(VLOOKUP($B89,MMWR_TRAD_AGG_STATE_PEN[],L$1,0),"ERROR")</f>
        <v>0</v>
      </c>
      <c r="M89" s="115" t="str">
        <f t="shared" si="10"/>
        <v>0%</v>
      </c>
      <c r="N89" s="112">
        <f>IFERROR(VLOOKUP($B89,MMWR_TRAD_AGG_STATE_PEN[],N$1,0),"ERROR")</f>
        <v>4</v>
      </c>
      <c r="O89" s="113">
        <f>IFERROR(VLOOKUP($B89,MMWR_TRAD_AGG_STATE_PEN[],O$1,0),"ERROR")</f>
        <v>1</v>
      </c>
      <c r="P89" s="115">
        <f t="shared" si="11"/>
        <v>0.25</v>
      </c>
      <c r="Q89" s="116">
        <f>IFERROR(VLOOKUP($B89,MMWR_TRAD_AGG_STATE_PEN[],Q$1,0),"ERROR")</f>
        <v>171</v>
      </c>
      <c r="R89" s="116">
        <f>IFERROR(VLOOKUP($B89,MMWR_TRAD_AGG_STATE_PEN[],R$1,0),"ERROR")</f>
        <v>24</v>
      </c>
      <c r="S89" s="116">
        <f>IFERROR(VLOOKUP($B89,MMWR_APP_STATE_PEN[],S$1,0),"ERROR")</f>
        <v>39</v>
      </c>
      <c r="T89" s="28"/>
    </row>
    <row r="90" spans="1:20" s="124" customFormat="1" x14ac:dyDescent="0.2">
      <c r="A90" s="28"/>
      <c r="B90" s="128" t="s">
        <v>432</v>
      </c>
      <c r="C90" s="110">
        <f>IFERROR(VLOOKUP($B90,MMWR_TRAD_AGG_STATE_PEN[],C$1,0),"ERROR")</f>
        <v>104</v>
      </c>
      <c r="D90" s="111">
        <f>IFERROR(VLOOKUP($B90,MMWR_TRAD_AGG_STATE_PEN[],D$1,0),"ERROR")</f>
        <v>41.298076923099998</v>
      </c>
      <c r="E90" s="112">
        <f>IFERROR(VLOOKUP($B90,MMWR_TRAD_AGG_STATE_PEN[],E$1,0),"ERROR")</f>
        <v>230</v>
      </c>
      <c r="F90" s="113">
        <f>IFERROR(VLOOKUP($B90,MMWR_TRAD_AGG_STATE_PEN[],F$1,0),"ERROR")</f>
        <v>7</v>
      </c>
      <c r="G90" s="114">
        <f t="shared" si="8"/>
        <v>3.0434782608695653E-2</v>
      </c>
      <c r="H90" s="112">
        <f>IFERROR(VLOOKUP($B90,MMWR_TRAD_AGG_STATE_PEN[],H$1,0),"ERROR")</f>
        <v>190</v>
      </c>
      <c r="I90" s="113">
        <f>IFERROR(VLOOKUP($B90,MMWR_TRAD_AGG_STATE_PEN[],I$1,0),"ERROR")</f>
        <v>3</v>
      </c>
      <c r="J90" s="115">
        <f t="shared" si="9"/>
        <v>1.5789473684210527E-2</v>
      </c>
      <c r="K90" s="112">
        <f>IFERROR(VLOOKUP($B90,MMWR_TRAD_AGG_STATE_PEN[],K$1,0),"ERROR")</f>
        <v>2</v>
      </c>
      <c r="L90" s="113">
        <f>IFERROR(VLOOKUP($B90,MMWR_TRAD_AGG_STATE_PEN[],L$1,0),"ERROR")</f>
        <v>2</v>
      </c>
      <c r="M90" s="115">
        <f t="shared" si="10"/>
        <v>1</v>
      </c>
      <c r="N90" s="112">
        <f>IFERROR(VLOOKUP($B90,MMWR_TRAD_AGG_STATE_PEN[],N$1,0),"ERROR")</f>
        <v>9</v>
      </c>
      <c r="O90" s="113">
        <f>IFERROR(VLOOKUP($B90,MMWR_TRAD_AGG_STATE_PEN[],O$1,0),"ERROR")</f>
        <v>4</v>
      </c>
      <c r="P90" s="115">
        <f t="shared" si="11"/>
        <v>0.44444444444444442</v>
      </c>
      <c r="Q90" s="116">
        <f>IFERROR(VLOOKUP($B90,MMWR_TRAD_AGG_STATE_PEN[],Q$1,0),"ERROR")</f>
        <v>121</v>
      </c>
      <c r="R90" s="116">
        <f>IFERROR(VLOOKUP($B90,MMWR_TRAD_AGG_STATE_PEN[],R$1,0),"ERROR")</f>
        <v>39</v>
      </c>
      <c r="S90" s="116">
        <f>IFERROR(VLOOKUP($B90,MMWR_APP_STATE_PEN[],S$1,0),"ERROR")</f>
        <v>27</v>
      </c>
      <c r="T90" s="28"/>
    </row>
    <row r="91" spans="1:20" s="124" customFormat="1" x14ac:dyDescent="0.2">
      <c r="A91" s="28"/>
      <c r="B91" s="128" t="s">
        <v>405</v>
      </c>
      <c r="C91" s="110">
        <f>IFERROR(VLOOKUP($B91,MMWR_TRAD_AGG_STATE_PEN[],C$1,0),"ERROR")</f>
        <v>472</v>
      </c>
      <c r="D91" s="111">
        <f>IFERROR(VLOOKUP($B91,MMWR_TRAD_AGG_STATE_PEN[],D$1,0),"ERROR")</f>
        <v>65.495762711899999</v>
      </c>
      <c r="E91" s="112">
        <f>IFERROR(VLOOKUP($B91,MMWR_TRAD_AGG_STATE_PEN[],E$1,0),"ERROR")</f>
        <v>778</v>
      </c>
      <c r="F91" s="113">
        <f>IFERROR(VLOOKUP($B91,MMWR_TRAD_AGG_STATE_PEN[],F$1,0),"ERROR")</f>
        <v>72</v>
      </c>
      <c r="G91" s="114">
        <f t="shared" si="8"/>
        <v>9.2544987146529561E-2</v>
      </c>
      <c r="H91" s="112">
        <f>IFERROR(VLOOKUP($B91,MMWR_TRAD_AGG_STATE_PEN[],H$1,0),"ERROR")</f>
        <v>832</v>
      </c>
      <c r="I91" s="113">
        <f>IFERROR(VLOOKUP($B91,MMWR_TRAD_AGG_STATE_PEN[],I$1,0),"ERROR")</f>
        <v>80</v>
      </c>
      <c r="J91" s="115">
        <f t="shared" si="9"/>
        <v>9.6153846153846159E-2</v>
      </c>
      <c r="K91" s="112">
        <f>IFERROR(VLOOKUP($B91,MMWR_TRAD_AGG_STATE_PEN[],K$1,0),"ERROR")</f>
        <v>8</v>
      </c>
      <c r="L91" s="113">
        <f>IFERROR(VLOOKUP($B91,MMWR_TRAD_AGG_STATE_PEN[],L$1,0),"ERROR")</f>
        <v>8</v>
      </c>
      <c r="M91" s="115">
        <f t="shared" si="10"/>
        <v>1</v>
      </c>
      <c r="N91" s="112">
        <f>IFERROR(VLOOKUP($B91,MMWR_TRAD_AGG_STATE_PEN[],N$1,0),"ERROR")</f>
        <v>58</v>
      </c>
      <c r="O91" s="113">
        <f>IFERROR(VLOOKUP($B91,MMWR_TRAD_AGG_STATE_PEN[],O$1,0),"ERROR")</f>
        <v>13</v>
      </c>
      <c r="P91" s="115">
        <f t="shared" si="11"/>
        <v>0.22413793103448276</v>
      </c>
      <c r="Q91" s="116">
        <f>IFERROR(VLOOKUP($B91,MMWR_TRAD_AGG_STATE_PEN[],Q$1,0),"ERROR")</f>
        <v>438</v>
      </c>
      <c r="R91" s="116">
        <f>IFERROR(VLOOKUP($B91,MMWR_TRAD_AGG_STATE_PEN[],R$1,0),"ERROR")</f>
        <v>69</v>
      </c>
      <c r="S91" s="116">
        <f>IFERROR(VLOOKUP($B91,MMWR_APP_STATE_PEN[],S$1,0),"ERROR")</f>
        <v>232</v>
      </c>
      <c r="T91" s="28"/>
    </row>
    <row r="92" spans="1:20" s="124" customFormat="1" x14ac:dyDescent="0.2">
      <c r="A92" s="28"/>
      <c r="B92" s="128" t="s">
        <v>411</v>
      </c>
      <c r="C92" s="110">
        <f>IFERROR(VLOOKUP($B92,MMWR_TRAD_AGG_STATE_PEN[],C$1,0),"ERROR")</f>
        <v>131</v>
      </c>
      <c r="D92" s="111">
        <f>IFERROR(VLOOKUP($B92,MMWR_TRAD_AGG_STATE_PEN[],D$1,0),"ERROR")</f>
        <v>38.9083969466</v>
      </c>
      <c r="E92" s="112">
        <f>IFERROR(VLOOKUP($B92,MMWR_TRAD_AGG_STATE_PEN[],E$1,0),"ERROR")</f>
        <v>297</v>
      </c>
      <c r="F92" s="113">
        <f>IFERROR(VLOOKUP($B92,MMWR_TRAD_AGG_STATE_PEN[],F$1,0),"ERROR")</f>
        <v>7</v>
      </c>
      <c r="G92" s="114">
        <f t="shared" si="8"/>
        <v>2.3569023569023569E-2</v>
      </c>
      <c r="H92" s="112">
        <f>IFERROR(VLOOKUP($B92,MMWR_TRAD_AGG_STATE_PEN[],H$1,0),"ERROR")</f>
        <v>223</v>
      </c>
      <c r="I92" s="113">
        <f>IFERROR(VLOOKUP($B92,MMWR_TRAD_AGG_STATE_PEN[],I$1,0),"ERROR")</f>
        <v>3</v>
      </c>
      <c r="J92" s="115">
        <f t="shared" si="9"/>
        <v>1.3452914798206279E-2</v>
      </c>
      <c r="K92" s="112">
        <f>IFERROR(VLOOKUP($B92,MMWR_TRAD_AGG_STATE_PEN[],K$1,0),"ERROR")</f>
        <v>1</v>
      </c>
      <c r="L92" s="113">
        <f>IFERROR(VLOOKUP($B92,MMWR_TRAD_AGG_STATE_PEN[],L$1,0),"ERROR")</f>
        <v>1</v>
      </c>
      <c r="M92" s="115">
        <f t="shared" si="10"/>
        <v>1</v>
      </c>
      <c r="N92" s="112">
        <f>IFERROR(VLOOKUP($B92,MMWR_TRAD_AGG_STATE_PEN[],N$1,0),"ERROR")</f>
        <v>6</v>
      </c>
      <c r="O92" s="113">
        <f>IFERROR(VLOOKUP($B92,MMWR_TRAD_AGG_STATE_PEN[],O$1,0),"ERROR")</f>
        <v>1</v>
      </c>
      <c r="P92" s="115">
        <f t="shared" si="11"/>
        <v>0.16666666666666666</v>
      </c>
      <c r="Q92" s="116">
        <f>IFERROR(VLOOKUP($B92,MMWR_TRAD_AGG_STATE_PEN[],Q$1,0),"ERROR")</f>
        <v>372</v>
      </c>
      <c r="R92" s="116">
        <f>IFERROR(VLOOKUP($B92,MMWR_TRAD_AGG_STATE_PEN[],R$1,0),"ERROR")</f>
        <v>41</v>
      </c>
      <c r="S92" s="116">
        <f>IFERROR(VLOOKUP($B92,MMWR_APP_STATE_PEN[],S$1,0),"ERROR")</f>
        <v>42</v>
      </c>
      <c r="T92" s="28"/>
    </row>
    <row r="93" spans="1:20" s="124" customFormat="1" x14ac:dyDescent="0.2">
      <c r="A93" s="28"/>
      <c r="B93" s="128" t="s">
        <v>407</v>
      </c>
      <c r="C93" s="110">
        <f>IFERROR(VLOOKUP($B93,MMWR_TRAD_AGG_STATE_PEN[],C$1,0),"ERROR")</f>
        <v>428</v>
      </c>
      <c r="D93" s="111">
        <f>IFERROR(VLOOKUP($B93,MMWR_TRAD_AGG_STATE_PEN[],D$1,0),"ERROR")</f>
        <v>54.922897196299999</v>
      </c>
      <c r="E93" s="112">
        <f>IFERROR(VLOOKUP($B93,MMWR_TRAD_AGG_STATE_PEN[],E$1,0),"ERROR")</f>
        <v>405</v>
      </c>
      <c r="F93" s="113">
        <f>IFERROR(VLOOKUP($B93,MMWR_TRAD_AGG_STATE_PEN[],F$1,0),"ERROR")</f>
        <v>23</v>
      </c>
      <c r="G93" s="114">
        <f t="shared" si="8"/>
        <v>5.6790123456790124E-2</v>
      </c>
      <c r="H93" s="112">
        <f>IFERROR(VLOOKUP($B93,MMWR_TRAD_AGG_STATE_PEN[],H$1,0),"ERROR")</f>
        <v>705</v>
      </c>
      <c r="I93" s="113">
        <f>IFERROR(VLOOKUP($B93,MMWR_TRAD_AGG_STATE_PEN[],I$1,0),"ERROR")</f>
        <v>61</v>
      </c>
      <c r="J93" s="115">
        <f t="shared" si="9"/>
        <v>8.6524822695035461E-2</v>
      </c>
      <c r="K93" s="112">
        <f>IFERROR(VLOOKUP($B93,MMWR_TRAD_AGG_STATE_PEN[],K$1,0),"ERROR")</f>
        <v>3</v>
      </c>
      <c r="L93" s="113">
        <f>IFERROR(VLOOKUP($B93,MMWR_TRAD_AGG_STATE_PEN[],L$1,0),"ERROR")</f>
        <v>3</v>
      </c>
      <c r="M93" s="115">
        <f t="shared" si="10"/>
        <v>1</v>
      </c>
      <c r="N93" s="112">
        <f>IFERROR(VLOOKUP($B93,MMWR_TRAD_AGG_STATE_PEN[],N$1,0),"ERROR")</f>
        <v>43</v>
      </c>
      <c r="O93" s="113">
        <f>IFERROR(VLOOKUP($B93,MMWR_TRAD_AGG_STATE_PEN[],O$1,0),"ERROR")</f>
        <v>13</v>
      </c>
      <c r="P93" s="115">
        <f t="shared" si="11"/>
        <v>0.30232558139534882</v>
      </c>
      <c r="Q93" s="116">
        <f>IFERROR(VLOOKUP($B93,MMWR_TRAD_AGG_STATE_PEN[],Q$1,0),"ERROR")</f>
        <v>373</v>
      </c>
      <c r="R93" s="116">
        <f>IFERROR(VLOOKUP($B93,MMWR_TRAD_AGG_STATE_PEN[],R$1,0),"ERROR")</f>
        <v>53</v>
      </c>
      <c r="S93" s="116">
        <f>IFERROR(VLOOKUP($B93,MMWR_APP_STATE_PEN[],S$1,0),"ERROR")</f>
        <v>185</v>
      </c>
      <c r="T93" s="28"/>
    </row>
    <row r="94" spans="1:20" s="124" customFormat="1" x14ac:dyDescent="0.2">
      <c r="A94" s="28"/>
      <c r="B94" s="128" t="s">
        <v>410</v>
      </c>
      <c r="C94" s="110">
        <f>IFERROR(VLOOKUP($B94,MMWR_TRAD_AGG_STATE_PEN[],C$1,0),"ERROR")</f>
        <v>48</v>
      </c>
      <c r="D94" s="111">
        <f>IFERROR(VLOOKUP($B94,MMWR_TRAD_AGG_STATE_PEN[],D$1,0),"ERROR")</f>
        <v>37.083333333299997</v>
      </c>
      <c r="E94" s="112">
        <f>IFERROR(VLOOKUP($B94,MMWR_TRAD_AGG_STATE_PEN[],E$1,0),"ERROR")</f>
        <v>96</v>
      </c>
      <c r="F94" s="113">
        <f>IFERROR(VLOOKUP($B94,MMWR_TRAD_AGG_STATE_PEN[],F$1,0),"ERROR")</f>
        <v>2</v>
      </c>
      <c r="G94" s="114">
        <f t="shared" si="8"/>
        <v>2.0833333333333332E-2</v>
      </c>
      <c r="H94" s="112">
        <f>IFERROR(VLOOKUP($B94,MMWR_TRAD_AGG_STATE_PEN[],H$1,0),"ERROR")</f>
        <v>79</v>
      </c>
      <c r="I94" s="113">
        <f>IFERROR(VLOOKUP($B94,MMWR_TRAD_AGG_STATE_PEN[],I$1,0),"ERROR")</f>
        <v>0</v>
      </c>
      <c r="J94" s="115">
        <f t="shared" si="9"/>
        <v>0</v>
      </c>
      <c r="K94" s="112">
        <f>IFERROR(VLOOKUP($B94,MMWR_TRAD_AGG_STATE_PEN[],K$1,0),"ERROR")</f>
        <v>1</v>
      </c>
      <c r="L94" s="113">
        <f>IFERROR(VLOOKUP($B94,MMWR_TRAD_AGG_STATE_PEN[],L$1,0),"ERROR")</f>
        <v>1</v>
      </c>
      <c r="M94" s="115">
        <f t="shared" si="10"/>
        <v>1</v>
      </c>
      <c r="N94" s="112">
        <f>IFERROR(VLOOKUP($B94,MMWR_TRAD_AGG_STATE_PEN[],N$1,0),"ERROR")</f>
        <v>2</v>
      </c>
      <c r="O94" s="113">
        <f>IFERROR(VLOOKUP($B94,MMWR_TRAD_AGG_STATE_PEN[],O$1,0),"ERROR")</f>
        <v>1</v>
      </c>
      <c r="P94" s="115">
        <f t="shared" si="11"/>
        <v>0.5</v>
      </c>
      <c r="Q94" s="116">
        <f>IFERROR(VLOOKUP($B94,MMWR_TRAD_AGG_STATE_PEN[],Q$1,0),"ERROR")</f>
        <v>118</v>
      </c>
      <c r="R94" s="116">
        <f>IFERROR(VLOOKUP($B94,MMWR_TRAD_AGG_STATE_PEN[],R$1,0),"ERROR")</f>
        <v>18</v>
      </c>
      <c r="S94" s="116">
        <f>IFERROR(VLOOKUP($B94,MMWR_APP_STATE_PEN[],S$1,0),"ERROR")</f>
        <v>40</v>
      </c>
      <c r="T94" s="28"/>
    </row>
    <row r="95" spans="1:20" s="124" customFormat="1" x14ac:dyDescent="0.2">
      <c r="A95" s="28"/>
      <c r="B95" s="128" t="s">
        <v>429</v>
      </c>
      <c r="C95" s="110">
        <f>IFERROR(VLOOKUP($B95,MMWR_TRAD_AGG_STATE_PEN[],C$1,0),"ERROR")</f>
        <v>26</v>
      </c>
      <c r="D95" s="111">
        <f>IFERROR(VLOOKUP($B95,MMWR_TRAD_AGG_STATE_PEN[],D$1,0),"ERROR")</f>
        <v>39.846153846199996</v>
      </c>
      <c r="E95" s="112">
        <f>IFERROR(VLOOKUP($B95,MMWR_TRAD_AGG_STATE_PEN[],E$1,0),"ERROR")</f>
        <v>26</v>
      </c>
      <c r="F95" s="113">
        <f>IFERROR(VLOOKUP($B95,MMWR_TRAD_AGG_STATE_PEN[],F$1,0),"ERROR")</f>
        <v>0</v>
      </c>
      <c r="G95" s="114">
        <f t="shared" si="8"/>
        <v>0</v>
      </c>
      <c r="H95" s="112">
        <f>IFERROR(VLOOKUP($B95,MMWR_TRAD_AGG_STATE_PEN[],H$1,0),"ERROR")</f>
        <v>41</v>
      </c>
      <c r="I95" s="113">
        <f>IFERROR(VLOOKUP($B95,MMWR_TRAD_AGG_STATE_PEN[],I$1,0),"ERROR")</f>
        <v>0</v>
      </c>
      <c r="J95" s="115">
        <f t="shared" si="9"/>
        <v>0</v>
      </c>
      <c r="K95" s="112">
        <f>IFERROR(VLOOKUP($B95,MMWR_TRAD_AGG_STATE_PEN[],K$1,0),"ERROR")</f>
        <v>1</v>
      </c>
      <c r="L95" s="113">
        <f>IFERROR(VLOOKUP($B95,MMWR_TRAD_AGG_STATE_PEN[],L$1,0),"ERROR")</f>
        <v>1</v>
      </c>
      <c r="M95" s="115">
        <f t="shared" si="10"/>
        <v>1</v>
      </c>
      <c r="N95" s="112">
        <f>IFERROR(VLOOKUP($B95,MMWR_TRAD_AGG_STATE_PEN[],N$1,0),"ERROR")</f>
        <v>0</v>
      </c>
      <c r="O95" s="113">
        <f>IFERROR(VLOOKUP($B95,MMWR_TRAD_AGG_STATE_PEN[],O$1,0),"ERROR")</f>
        <v>0</v>
      </c>
      <c r="P95" s="115" t="str">
        <f t="shared" si="11"/>
        <v>0%</v>
      </c>
      <c r="Q95" s="116">
        <f>IFERROR(VLOOKUP($B95,MMWR_TRAD_AGG_STATE_PEN[],Q$1,0),"ERROR")</f>
        <v>36</v>
      </c>
      <c r="R95" s="116">
        <f>IFERROR(VLOOKUP($B95,MMWR_TRAD_AGG_STATE_PEN[],R$1,0),"ERROR")</f>
        <v>6</v>
      </c>
      <c r="S95" s="116">
        <f>IFERROR(VLOOKUP($B95,MMWR_APP_STATE_PEN[],S$1,0),"ERROR")</f>
        <v>6</v>
      </c>
      <c r="T95" s="28"/>
    </row>
    <row r="96" spans="1:20" s="124" customFormat="1" x14ac:dyDescent="0.2">
      <c r="A96" s="28"/>
      <c r="B96" s="128" t="s">
        <v>401</v>
      </c>
      <c r="C96" s="110">
        <f>IFERROR(VLOOKUP($B96,MMWR_TRAD_AGG_STATE_PEN[],C$1,0),"ERROR")</f>
        <v>603</v>
      </c>
      <c r="D96" s="111">
        <f>IFERROR(VLOOKUP($B96,MMWR_TRAD_AGG_STATE_PEN[],D$1,0),"ERROR")</f>
        <v>61.746268656700003</v>
      </c>
      <c r="E96" s="112">
        <f>IFERROR(VLOOKUP($B96,MMWR_TRAD_AGG_STATE_PEN[],E$1,0),"ERROR")</f>
        <v>856</v>
      </c>
      <c r="F96" s="113">
        <f>IFERROR(VLOOKUP($B96,MMWR_TRAD_AGG_STATE_PEN[],F$1,0),"ERROR")</f>
        <v>62</v>
      </c>
      <c r="G96" s="114">
        <f t="shared" si="8"/>
        <v>7.2429906542056069E-2</v>
      </c>
      <c r="H96" s="112">
        <f>IFERROR(VLOOKUP($B96,MMWR_TRAD_AGG_STATE_PEN[],H$1,0),"ERROR")</f>
        <v>1052</v>
      </c>
      <c r="I96" s="113">
        <f>IFERROR(VLOOKUP($B96,MMWR_TRAD_AGG_STATE_PEN[],I$1,0),"ERROR")</f>
        <v>121</v>
      </c>
      <c r="J96" s="115">
        <f t="shared" si="9"/>
        <v>0.1150190114068441</v>
      </c>
      <c r="K96" s="112">
        <f>IFERROR(VLOOKUP($B96,MMWR_TRAD_AGG_STATE_PEN[],K$1,0),"ERROR")</f>
        <v>11</v>
      </c>
      <c r="L96" s="113">
        <f>IFERROR(VLOOKUP($B96,MMWR_TRAD_AGG_STATE_PEN[],L$1,0),"ERROR")</f>
        <v>10</v>
      </c>
      <c r="M96" s="115">
        <f t="shared" si="10"/>
        <v>0.90909090909090906</v>
      </c>
      <c r="N96" s="112">
        <f>IFERROR(VLOOKUP($B96,MMWR_TRAD_AGG_STATE_PEN[],N$1,0),"ERROR")</f>
        <v>75</v>
      </c>
      <c r="O96" s="113">
        <f>IFERROR(VLOOKUP($B96,MMWR_TRAD_AGG_STATE_PEN[],O$1,0),"ERROR")</f>
        <v>17</v>
      </c>
      <c r="P96" s="115">
        <f t="shared" si="11"/>
        <v>0.22666666666666666</v>
      </c>
      <c r="Q96" s="116">
        <f>IFERROR(VLOOKUP($B96,MMWR_TRAD_AGG_STATE_PEN[],Q$1,0),"ERROR")</f>
        <v>412</v>
      </c>
      <c r="R96" s="116">
        <f>IFERROR(VLOOKUP($B96,MMWR_TRAD_AGG_STATE_PEN[],R$1,0),"ERROR")</f>
        <v>57</v>
      </c>
      <c r="S96" s="116">
        <f>IFERROR(VLOOKUP($B96,MMWR_APP_STATE_PEN[],S$1,0),"ERROR")</f>
        <v>231</v>
      </c>
      <c r="T96" s="28"/>
    </row>
    <row r="97" spans="1:20" s="124" customFormat="1" x14ac:dyDescent="0.2">
      <c r="A97" s="28"/>
      <c r="B97" s="128" t="s">
        <v>430</v>
      </c>
      <c r="C97" s="110">
        <f>IFERROR(VLOOKUP($B97,MMWR_TRAD_AGG_STATE_PEN[],C$1,0),"ERROR")</f>
        <v>35</v>
      </c>
      <c r="D97" s="111">
        <f>IFERROR(VLOOKUP($B97,MMWR_TRAD_AGG_STATE_PEN[],D$1,0),"ERROR")</f>
        <v>41.485714285699999</v>
      </c>
      <c r="E97" s="112">
        <f>IFERROR(VLOOKUP($B97,MMWR_TRAD_AGG_STATE_PEN[],E$1,0),"ERROR")</f>
        <v>56</v>
      </c>
      <c r="F97" s="113">
        <f>IFERROR(VLOOKUP($B97,MMWR_TRAD_AGG_STATE_PEN[],F$1,0),"ERROR")</f>
        <v>1</v>
      </c>
      <c r="G97" s="114">
        <f t="shared" si="8"/>
        <v>1.7857142857142856E-2</v>
      </c>
      <c r="H97" s="112">
        <f>IFERROR(VLOOKUP($B97,MMWR_TRAD_AGG_STATE_PEN[],H$1,0),"ERROR")</f>
        <v>49</v>
      </c>
      <c r="I97" s="113">
        <f>IFERROR(VLOOKUP($B97,MMWR_TRAD_AGG_STATE_PEN[],I$1,0),"ERROR")</f>
        <v>0</v>
      </c>
      <c r="J97" s="115">
        <f t="shared" si="9"/>
        <v>0</v>
      </c>
      <c r="K97" s="112">
        <f>IFERROR(VLOOKUP($B97,MMWR_TRAD_AGG_STATE_PEN[],K$1,0),"ERROR")</f>
        <v>0</v>
      </c>
      <c r="L97" s="113">
        <f>IFERROR(VLOOKUP($B97,MMWR_TRAD_AGG_STATE_PEN[],L$1,0),"ERROR")</f>
        <v>0</v>
      </c>
      <c r="M97" s="115" t="str">
        <f t="shared" si="10"/>
        <v>0%</v>
      </c>
      <c r="N97" s="112">
        <f>IFERROR(VLOOKUP($B97,MMWR_TRAD_AGG_STATE_PEN[],N$1,0),"ERROR")</f>
        <v>1</v>
      </c>
      <c r="O97" s="113">
        <f>IFERROR(VLOOKUP($B97,MMWR_TRAD_AGG_STATE_PEN[],O$1,0),"ERROR")</f>
        <v>1</v>
      </c>
      <c r="P97" s="115">
        <f t="shared" si="11"/>
        <v>1</v>
      </c>
      <c r="Q97" s="116">
        <f>IFERROR(VLOOKUP($B97,MMWR_TRAD_AGG_STATE_PEN[],Q$1,0),"ERROR")</f>
        <v>81</v>
      </c>
      <c r="R97" s="116">
        <f>IFERROR(VLOOKUP($B97,MMWR_TRAD_AGG_STATE_PEN[],R$1,0),"ERROR")</f>
        <v>3</v>
      </c>
      <c r="S97" s="116">
        <f>IFERROR(VLOOKUP($B97,MMWR_APP_STATE_PEN[],S$1,0),"ERROR")</f>
        <v>13</v>
      </c>
      <c r="T97" s="28"/>
    </row>
    <row r="98" spans="1:20" s="124" customFormat="1" x14ac:dyDescent="0.2">
      <c r="A98" s="28"/>
      <c r="B98" s="128" t="s">
        <v>406</v>
      </c>
      <c r="C98" s="110">
        <f>IFERROR(VLOOKUP($B98,MMWR_TRAD_AGG_STATE_PEN[],C$1,0),"ERROR")</f>
        <v>258</v>
      </c>
      <c r="D98" s="111">
        <f>IFERROR(VLOOKUP($B98,MMWR_TRAD_AGG_STATE_PEN[],D$1,0),"ERROR")</f>
        <v>57.201550387600001</v>
      </c>
      <c r="E98" s="112">
        <f>IFERROR(VLOOKUP($B98,MMWR_TRAD_AGG_STATE_PEN[],E$1,0),"ERROR")</f>
        <v>289</v>
      </c>
      <c r="F98" s="113">
        <f>IFERROR(VLOOKUP($B98,MMWR_TRAD_AGG_STATE_PEN[],F$1,0),"ERROR")</f>
        <v>10</v>
      </c>
      <c r="G98" s="114">
        <f t="shared" si="8"/>
        <v>3.4602076124567477E-2</v>
      </c>
      <c r="H98" s="112">
        <f>IFERROR(VLOOKUP($B98,MMWR_TRAD_AGG_STATE_PEN[],H$1,0),"ERROR")</f>
        <v>409</v>
      </c>
      <c r="I98" s="113">
        <f>IFERROR(VLOOKUP($B98,MMWR_TRAD_AGG_STATE_PEN[],I$1,0),"ERROR")</f>
        <v>33</v>
      </c>
      <c r="J98" s="115">
        <f t="shared" si="9"/>
        <v>8.0684596577017112E-2</v>
      </c>
      <c r="K98" s="112">
        <f>IFERROR(VLOOKUP($B98,MMWR_TRAD_AGG_STATE_PEN[],K$1,0),"ERROR")</f>
        <v>0</v>
      </c>
      <c r="L98" s="113">
        <f>IFERROR(VLOOKUP($B98,MMWR_TRAD_AGG_STATE_PEN[],L$1,0),"ERROR")</f>
        <v>0</v>
      </c>
      <c r="M98" s="115" t="str">
        <f t="shared" si="10"/>
        <v>0%</v>
      </c>
      <c r="N98" s="112">
        <f>IFERROR(VLOOKUP($B98,MMWR_TRAD_AGG_STATE_PEN[],N$1,0),"ERROR")</f>
        <v>23</v>
      </c>
      <c r="O98" s="113">
        <f>IFERROR(VLOOKUP($B98,MMWR_TRAD_AGG_STATE_PEN[],O$1,0),"ERROR")</f>
        <v>4</v>
      </c>
      <c r="P98" s="115">
        <f t="shared" si="11"/>
        <v>0.17391304347826086</v>
      </c>
      <c r="Q98" s="116">
        <f>IFERROR(VLOOKUP($B98,MMWR_TRAD_AGG_STATE_PEN[],Q$1,0),"ERROR")</f>
        <v>277</v>
      </c>
      <c r="R98" s="116">
        <f>IFERROR(VLOOKUP($B98,MMWR_TRAD_AGG_STATE_PEN[],R$1,0),"ERROR")</f>
        <v>25</v>
      </c>
      <c r="S98" s="116">
        <f>IFERROR(VLOOKUP($B98,MMWR_APP_STATE_PEN[],S$1,0),"ERROR")</f>
        <v>64</v>
      </c>
      <c r="T98" s="28"/>
    </row>
    <row r="99" spans="1:20" s="124" customFormat="1" x14ac:dyDescent="0.2">
      <c r="A99" s="28"/>
      <c r="B99" s="127" t="s">
        <v>395</v>
      </c>
      <c r="C99" s="103">
        <f>IFERROR(VLOOKUP($B99,MMWR_TRAD_AGG_ST_DISTRICT_PEN[],C$1,0),"ERROR")</f>
        <v>1895</v>
      </c>
      <c r="D99" s="104">
        <f>IFERROR(VLOOKUP($B99,MMWR_TRAD_AGG_ST_DISTRICT_PEN[],D$1,0),"ERROR")</f>
        <v>49.311873350900001</v>
      </c>
      <c r="E99" s="103">
        <f>IFERROR(VLOOKUP($B99,MMWR_TRAD_AGG_ST_DISTRICT_PEN[],E$1,0),"ERROR")</f>
        <v>2961</v>
      </c>
      <c r="F99" s="103">
        <f>IFERROR(VLOOKUP($B99,MMWR_TRAD_AGG_ST_DISTRICT_PEN[],F$1,0),"ERROR")</f>
        <v>134</v>
      </c>
      <c r="G99" s="105">
        <f t="shared" si="8"/>
        <v>4.5254981425194192E-2</v>
      </c>
      <c r="H99" s="103">
        <f>IFERROR(VLOOKUP($B99,MMWR_TRAD_AGG_ST_DISTRICT_PEN[],H$1,0),"ERROR")</f>
        <v>3396</v>
      </c>
      <c r="I99" s="103">
        <f>IFERROR(VLOOKUP($B99,MMWR_TRAD_AGG_ST_DISTRICT_PEN[],I$1,0),"ERROR")</f>
        <v>231</v>
      </c>
      <c r="J99" s="105">
        <f t="shared" si="9"/>
        <v>6.8021201413427559E-2</v>
      </c>
      <c r="K99" s="103">
        <f>IFERROR(VLOOKUP($B99,MMWR_TRAD_AGG_ST_DISTRICT_PEN[],K$1,0),"ERROR")</f>
        <v>32</v>
      </c>
      <c r="L99" s="103">
        <f>IFERROR(VLOOKUP($B99,MMWR_TRAD_AGG_ST_DISTRICT_PEN[],L$1,0),"ERROR")</f>
        <v>31</v>
      </c>
      <c r="M99" s="105">
        <f t="shared" si="10"/>
        <v>0.96875</v>
      </c>
      <c r="N99" s="103">
        <f>IFERROR(VLOOKUP($B99,MMWR_TRAD_AGG_ST_DISTRICT_PEN[],N$1,0),"ERROR")</f>
        <v>205</v>
      </c>
      <c r="O99" s="103">
        <f>IFERROR(VLOOKUP($B99,MMWR_TRAD_AGG_ST_DISTRICT_PEN[],O$1,0),"ERROR")</f>
        <v>77</v>
      </c>
      <c r="P99" s="105">
        <f t="shared" si="11"/>
        <v>0.37560975609756098</v>
      </c>
      <c r="Q99" s="103">
        <f>IFERROR(VLOOKUP($B99,MMWR_TRAD_AGG_ST_DISTRICT_PEN[],Q$1,0),"ERROR")</f>
        <v>2373</v>
      </c>
      <c r="R99" s="107">
        <f>IFERROR(VLOOKUP($B99,MMWR_TRAD_AGG_ST_DISTRICT_PEN[],R$1,0),"ERROR")</f>
        <v>446</v>
      </c>
      <c r="S99" s="107">
        <f>IFERROR(VLOOKUP($B99,MMWR_APP_STATE_PEN[],S$1,0),"ERROR")</f>
        <v>964</v>
      </c>
      <c r="T99" s="28"/>
    </row>
    <row r="100" spans="1:20" s="124" customFormat="1" x14ac:dyDescent="0.2">
      <c r="A100" s="28"/>
      <c r="B100" s="128" t="s">
        <v>421</v>
      </c>
      <c r="C100" s="110">
        <f>IFERROR(VLOOKUP($B100,MMWR_TRAD_AGG_STATE_PEN[],C$1,0),"ERROR")</f>
        <v>217</v>
      </c>
      <c r="D100" s="111">
        <f>IFERROR(VLOOKUP($B100,MMWR_TRAD_AGG_STATE_PEN[],D$1,0),"ERROR")</f>
        <v>52.571428571399998</v>
      </c>
      <c r="E100" s="112">
        <f>IFERROR(VLOOKUP($B100,MMWR_TRAD_AGG_STATE_PEN[],E$1,0),"ERROR")</f>
        <v>186</v>
      </c>
      <c r="F100" s="113">
        <f>IFERROR(VLOOKUP($B100,MMWR_TRAD_AGG_STATE_PEN[],F$1,0),"ERROR")</f>
        <v>13</v>
      </c>
      <c r="G100" s="114">
        <f t="shared" si="8"/>
        <v>6.9892473118279563E-2</v>
      </c>
      <c r="H100" s="112">
        <f>IFERROR(VLOOKUP($B100,MMWR_TRAD_AGG_STATE_PEN[],H$1,0),"ERROR")</f>
        <v>362</v>
      </c>
      <c r="I100" s="113">
        <f>IFERROR(VLOOKUP($B100,MMWR_TRAD_AGG_STATE_PEN[],I$1,0),"ERROR")</f>
        <v>34</v>
      </c>
      <c r="J100" s="115">
        <f t="shared" si="9"/>
        <v>9.3922651933701654E-2</v>
      </c>
      <c r="K100" s="112">
        <f>IFERROR(VLOOKUP($B100,MMWR_TRAD_AGG_STATE_PEN[],K$1,0),"ERROR")</f>
        <v>6</v>
      </c>
      <c r="L100" s="113">
        <f>IFERROR(VLOOKUP($B100,MMWR_TRAD_AGG_STATE_PEN[],L$1,0),"ERROR")</f>
        <v>6</v>
      </c>
      <c r="M100" s="115">
        <f t="shared" si="10"/>
        <v>1</v>
      </c>
      <c r="N100" s="112">
        <f>IFERROR(VLOOKUP($B100,MMWR_TRAD_AGG_STATE_PEN[],N$1,0),"ERROR")</f>
        <v>31</v>
      </c>
      <c r="O100" s="113">
        <f>IFERROR(VLOOKUP($B100,MMWR_TRAD_AGG_STATE_PEN[],O$1,0),"ERROR")</f>
        <v>8</v>
      </c>
      <c r="P100" s="115">
        <f t="shared" si="11"/>
        <v>0.25806451612903225</v>
      </c>
      <c r="Q100" s="116">
        <f>IFERROR(VLOOKUP($B100,MMWR_TRAD_AGG_STATE_PEN[],Q$1,0),"ERROR")</f>
        <v>226</v>
      </c>
      <c r="R100" s="116">
        <f>IFERROR(VLOOKUP($B100,MMWR_TRAD_AGG_STATE_PEN[],R$1,0),"ERROR")</f>
        <v>19</v>
      </c>
      <c r="S100" s="116">
        <f>IFERROR(VLOOKUP($B100,MMWR_APP_STATE_PEN[],S$1,0),"ERROR")</f>
        <v>114</v>
      </c>
      <c r="T100" s="28"/>
    </row>
    <row r="101" spans="1:20" s="124" customFormat="1" x14ac:dyDescent="0.2">
      <c r="A101" s="28"/>
      <c r="B101" s="128" t="s">
        <v>413</v>
      </c>
      <c r="C101" s="110">
        <f>IFERROR(VLOOKUP($B101,MMWR_TRAD_AGG_STATE_PEN[],C$1,0),"ERROR")</f>
        <v>134</v>
      </c>
      <c r="D101" s="111">
        <f>IFERROR(VLOOKUP($B101,MMWR_TRAD_AGG_STATE_PEN[],D$1,0),"ERROR")</f>
        <v>50.134328358200001</v>
      </c>
      <c r="E101" s="112">
        <f>IFERROR(VLOOKUP($B101,MMWR_TRAD_AGG_STATE_PEN[],E$1,0),"ERROR")</f>
        <v>237</v>
      </c>
      <c r="F101" s="113">
        <f>IFERROR(VLOOKUP($B101,MMWR_TRAD_AGG_STATE_PEN[],F$1,0),"ERROR")</f>
        <v>10</v>
      </c>
      <c r="G101" s="114">
        <f t="shared" ref="G101:G127" si="12">IFERROR(F101/E101,"0%")</f>
        <v>4.2194092827004218E-2</v>
      </c>
      <c r="H101" s="112">
        <f>IFERROR(VLOOKUP($B101,MMWR_TRAD_AGG_STATE_PEN[],H$1,0),"ERROR")</f>
        <v>236</v>
      </c>
      <c r="I101" s="113">
        <f>IFERROR(VLOOKUP($B101,MMWR_TRAD_AGG_STATE_PEN[],I$1,0),"ERROR")</f>
        <v>20</v>
      </c>
      <c r="J101" s="115">
        <f t="shared" ref="J101:J127" si="13">IFERROR(I101/H101,"0%")</f>
        <v>8.4745762711864403E-2</v>
      </c>
      <c r="K101" s="112">
        <f>IFERROR(VLOOKUP($B101,MMWR_TRAD_AGG_STATE_PEN[],K$1,0),"ERROR")</f>
        <v>2</v>
      </c>
      <c r="L101" s="113">
        <f>IFERROR(VLOOKUP($B101,MMWR_TRAD_AGG_STATE_PEN[],L$1,0),"ERROR")</f>
        <v>2</v>
      </c>
      <c r="M101" s="115">
        <f t="shared" ref="M101:M127" si="14">IFERROR(L101/K101,"0%")</f>
        <v>1</v>
      </c>
      <c r="N101" s="112">
        <f>IFERROR(VLOOKUP($B101,MMWR_TRAD_AGG_STATE_PEN[],N$1,0),"ERROR")</f>
        <v>18</v>
      </c>
      <c r="O101" s="113">
        <f>IFERROR(VLOOKUP($B101,MMWR_TRAD_AGG_STATE_PEN[],O$1,0),"ERROR")</f>
        <v>7</v>
      </c>
      <c r="P101" s="115">
        <f t="shared" ref="P101:P127" si="15">IFERROR(O101/N101,"0%")</f>
        <v>0.3888888888888889</v>
      </c>
      <c r="Q101" s="116">
        <f>IFERROR(VLOOKUP($B101,MMWR_TRAD_AGG_STATE_PEN[],Q$1,0),"ERROR")</f>
        <v>193</v>
      </c>
      <c r="R101" s="116">
        <f>IFERROR(VLOOKUP($B101,MMWR_TRAD_AGG_STATE_PEN[],R$1,0),"ERROR")</f>
        <v>45</v>
      </c>
      <c r="S101" s="116">
        <f>IFERROR(VLOOKUP($B101,MMWR_APP_STATE_PEN[],S$1,0),"ERROR")</f>
        <v>46</v>
      </c>
      <c r="T101" s="28"/>
    </row>
    <row r="102" spans="1:20" s="124" customFormat="1" x14ac:dyDescent="0.2">
      <c r="A102" s="28"/>
      <c r="B102" s="128" t="s">
        <v>397</v>
      </c>
      <c r="C102" s="110">
        <f>IFERROR(VLOOKUP($B102,MMWR_TRAD_AGG_STATE_PEN[],C$1,0),"ERROR")</f>
        <v>346</v>
      </c>
      <c r="D102" s="111">
        <f>IFERROR(VLOOKUP($B102,MMWR_TRAD_AGG_STATE_PEN[],D$1,0),"ERROR")</f>
        <v>53.153179190800003</v>
      </c>
      <c r="E102" s="112">
        <f>IFERROR(VLOOKUP($B102,MMWR_TRAD_AGG_STATE_PEN[],E$1,0),"ERROR")</f>
        <v>348</v>
      </c>
      <c r="F102" s="113">
        <f>IFERROR(VLOOKUP($B102,MMWR_TRAD_AGG_STATE_PEN[],F$1,0),"ERROR")</f>
        <v>17</v>
      </c>
      <c r="G102" s="114">
        <f t="shared" si="12"/>
        <v>4.8850574712643681E-2</v>
      </c>
      <c r="H102" s="112">
        <f>IFERROR(VLOOKUP($B102,MMWR_TRAD_AGG_STATE_PEN[],H$1,0),"ERROR")</f>
        <v>570</v>
      </c>
      <c r="I102" s="113">
        <f>IFERROR(VLOOKUP($B102,MMWR_TRAD_AGG_STATE_PEN[],I$1,0),"ERROR")</f>
        <v>49</v>
      </c>
      <c r="J102" s="115">
        <f t="shared" si="13"/>
        <v>8.5964912280701758E-2</v>
      </c>
      <c r="K102" s="112">
        <f>IFERROR(VLOOKUP($B102,MMWR_TRAD_AGG_STATE_PEN[],K$1,0),"ERROR")</f>
        <v>4</v>
      </c>
      <c r="L102" s="113">
        <f>IFERROR(VLOOKUP($B102,MMWR_TRAD_AGG_STATE_PEN[],L$1,0),"ERROR")</f>
        <v>4</v>
      </c>
      <c r="M102" s="115">
        <f t="shared" si="14"/>
        <v>1</v>
      </c>
      <c r="N102" s="112">
        <f>IFERROR(VLOOKUP($B102,MMWR_TRAD_AGG_STATE_PEN[],N$1,0),"ERROR")</f>
        <v>38</v>
      </c>
      <c r="O102" s="113">
        <f>IFERROR(VLOOKUP($B102,MMWR_TRAD_AGG_STATE_PEN[],O$1,0),"ERROR")</f>
        <v>14</v>
      </c>
      <c r="P102" s="115">
        <f t="shared" si="15"/>
        <v>0.36842105263157893</v>
      </c>
      <c r="Q102" s="116">
        <f>IFERROR(VLOOKUP($B102,MMWR_TRAD_AGG_STATE_PEN[],Q$1,0),"ERROR")</f>
        <v>206</v>
      </c>
      <c r="R102" s="116">
        <f>IFERROR(VLOOKUP($B102,MMWR_TRAD_AGG_STATE_PEN[],R$1,0),"ERROR")</f>
        <v>25</v>
      </c>
      <c r="S102" s="116">
        <f>IFERROR(VLOOKUP($B102,MMWR_APP_STATE_PEN[],S$1,0),"ERROR")</f>
        <v>168</v>
      </c>
      <c r="T102" s="28"/>
    </row>
    <row r="103" spans="1:20" s="124" customFormat="1" x14ac:dyDescent="0.2">
      <c r="A103" s="28"/>
      <c r="B103" s="128" t="s">
        <v>399</v>
      </c>
      <c r="C103" s="110">
        <f>IFERROR(VLOOKUP($B103,MMWR_TRAD_AGG_STATE_PEN[],C$1,0),"ERROR")</f>
        <v>230</v>
      </c>
      <c r="D103" s="111">
        <f>IFERROR(VLOOKUP($B103,MMWR_TRAD_AGG_STATE_PEN[],D$1,0),"ERROR")</f>
        <v>70.186956521699997</v>
      </c>
      <c r="E103" s="112">
        <f>IFERROR(VLOOKUP($B103,MMWR_TRAD_AGG_STATE_PEN[],E$1,0),"ERROR")</f>
        <v>222</v>
      </c>
      <c r="F103" s="113">
        <f>IFERROR(VLOOKUP($B103,MMWR_TRAD_AGG_STATE_PEN[],F$1,0),"ERROR")</f>
        <v>13</v>
      </c>
      <c r="G103" s="114">
        <f t="shared" si="12"/>
        <v>5.8558558558558557E-2</v>
      </c>
      <c r="H103" s="112">
        <f>IFERROR(VLOOKUP($B103,MMWR_TRAD_AGG_STATE_PEN[],H$1,0),"ERROR")</f>
        <v>353</v>
      </c>
      <c r="I103" s="113">
        <f>IFERROR(VLOOKUP($B103,MMWR_TRAD_AGG_STATE_PEN[],I$1,0),"ERROR")</f>
        <v>40</v>
      </c>
      <c r="J103" s="115">
        <f t="shared" si="13"/>
        <v>0.11331444759206799</v>
      </c>
      <c r="K103" s="112">
        <f>IFERROR(VLOOKUP($B103,MMWR_TRAD_AGG_STATE_PEN[],K$1,0),"ERROR")</f>
        <v>4</v>
      </c>
      <c r="L103" s="113">
        <f>IFERROR(VLOOKUP($B103,MMWR_TRAD_AGG_STATE_PEN[],L$1,0),"ERROR")</f>
        <v>4</v>
      </c>
      <c r="M103" s="115">
        <f t="shared" si="14"/>
        <v>1</v>
      </c>
      <c r="N103" s="112">
        <f>IFERROR(VLOOKUP($B103,MMWR_TRAD_AGG_STATE_PEN[],N$1,0),"ERROR")</f>
        <v>39</v>
      </c>
      <c r="O103" s="113">
        <f>IFERROR(VLOOKUP($B103,MMWR_TRAD_AGG_STATE_PEN[],O$1,0),"ERROR")</f>
        <v>7</v>
      </c>
      <c r="P103" s="115">
        <f t="shared" si="15"/>
        <v>0.17948717948717949</v>
      </c>
      <c r="Q103" s="116">
        <f>IFERROR(VLOOKUP($B103,MMWR_TRAD_AGG_STATE_PEN[],Q$1,0),"ERROR")</f>
        <v>201</v>
      </c>
      <c r="R103" s="116">
        <f>IFERROR(VLOOKUP($B103,MMWR_TRAD_AGG_STATE_PEN[],R$1,0),"ERROR")</f>
        <v>23</v>
      </c>
      <c r="S103" s="116">
        <f>IFERROR(VLOOKUP($B103,MMWR_APP_STATE_PEN[],S$1,0),"ERROR")</f>
        <v>116</v>
      </c>
      <c r="T103" s="28"/>
    </row>
    <row r="104" spans="1:20" s="124" customFormat="1" x14ac:dyDescent="0.2">
      <c r="A104" s="28"/>
      <c r="B104" s="128" t="s">
        <v>428</v>
      </c>
      <c r="C104" s="110">
        <f>IFERROR(VLOOKUP($B104,MMWR_TRAD_AGG_STATE_PEN[],C$1,0),"ERROR")</f>
        <v>25</v>
      </c>
      <c r="D104" s="111">
        <f>IFERROR(VLOOKUP($B104,MMWR_TRAD_AGG_STATE_PEN[],D$1,0),"ERROR")</f>
        <v>33.36</v>
      </c>
      <c r="E104" s="112">
        <f>IFERROR(VLOOKUP($B104,MMWR_TRAD_AGG_STATE_PEN[],E$1,0),"ERROR")</f>
        <v>61</v>
      </c>
      <c r="F104" s="113">
        <f>IFERROR(VLOOKUP($B104,MMWR_TRAD_AGG_STATE_PEN[],F$1,0),"ERROR")</f>
        <v>2</v>
      </c>
      <c r="G104" s="114">
        <f t="shared" si="12"/>
        <v>3.2786885245901641E-2</v>
      </c>
      <c r="H104" s="112">
        <f>IFERROR(VLOOKUP($B104,MMWR_TRAD_AGG_STATE_PEN[],H$1,0),"ERROR")</f>
        <v>60</v>
      </c>
      <c r="I104" s="113">
        <f>IFERROR(VLOOKUP($B104,MMWR_TRAD_AGG_STATE_PEN[],I$1,0),"ERROR")</f>
        <v>4</v>
      </c>
      <c r="J104" s="115">
        <f t="shared" si="13"/>
        <v>6.6666666666666666E-2</v>
      </c>
      <c r="K104" s="112">
        <f>IFERROR(VLOOKUP($B104,MMWR_TRAD_AGG_STATE_PEN[],K$1,0),"ERROR")</f>
        <v>0</v>
      </c>
      <c r="L104" s="113">
        <f>IFERROR(VLOOKUP($B104,MMWR_TRAD_AGG_STATE_PEN[],L$1,0),"ERROR")</f>
        <v>0</v>
      </c>
      <c r="M104" s="115" t="str">
        <f t="shared" si="14"/>
        <v>0%</v>
      </c>
      <c r="N104" s="112">
        <f>IFERROR(VLOOKUP($B104,MMWR_TRAD_AGG_STATE_PEN[],N$1,0),"ERROR")</f>
        <v>3</v>
      </c>
      <c r="O104" s="113">
        <f>IFERROR(VLOOKUP($B104,MMWR_TRAD_AGG_STATE_PEN[],O$1,0),"ERROR")</f>
        <v>0</v>
      </c>
      <c r="P104" s="115">
        <f t="shared" si="15"/>
        <v>0</v>
      </c>
      <c r="Q104" s="116">
        <f>IFERROR(VLOOKUP($B104,MMWR_TRAD_AGG_STATE_PEN[],Q$1,0),"ERROR")</f>
        <v>80</v>
      </c>
      <c r="R104" s="116">
        <f>IFERROR(VLOOKUP($B104,MMWR_TRAD_AGG_STATE_PEN[],R$1,0),"ERROR")</f>
        <v>8</v>
      </c>
      <c r="S104" s="116">
        <f>IFERROR(VLOOKUP($B104,MMWR_APP_STATE_PEN[],S$1,0),"ERROR")</f>
        <v>5</v>
      </c>
      <c r="T104" s="28"/>
    </row>
    <row r="105" spans="1:20" s="124" customFormat="1" x14ac:dyDescent="0.2">
      <c r="A105" s="28"/>
      <c r="B105" s="128" t="s">
        <v>422</v>
      </c>
      <c r="C105" s="110">
        <f>IFERROR(VLOOKUP($B105,MMWR_TRAD_AGG_STATE_PEN[],C$1,0),"ERROR")</f>
        <v>151</v>
      </c>
      <c r="D105" s="111">
        <f>IFERROR(VLOOKUP($B105,MMWR_TRAD_AGG_STATE_PEN[],D$1,0),"ERROR")</f>
        <v>35.721854304600001</v>
      </c>
      <c r="E105" s="112">
        <f>IFERROR(VLOOKUP($B105,MMWR_TRAD_AGG_STATE_PEN[],E$1,0),"ERROR")</f>
        <v>276</v>
      </c>
      <c r="F105" s="113">
        <f>IFERROR(VLOOKUP($B105,MMWR_TRAD_AGG_STATE_PEN[],F$1,0),"ERROR")</f>
        <v>3</v>
      </c>
      <c r="G105" s="114">
        <f t="shared" si="12"/>
        <v>1.0869565217391304E-2</v>
      </c>
      <c r="H105" s="112">
        <f>IFERROR(VLOOKUP($B105,MMWR_TRAD_AGG_STATE_PEN[],H$1,0),"ERROR")</f>
        <v>272</v>
      </c>
      <c r="I105" s="113">
        <f>IFERROR(VLOOKUP($B105,MMWR_TRAD_AGG_STATE_PEN[],I$1,0),"ERROR")</f>
        <v>3</v>
      </c>
      <c r="J105" s="115">
        <f t="shared" si="13"/>
        <v>1.1029411764705883E-2</v>
      </c>
      <c r="K105" s="112">
        <f>IFERROR(VLOOKUP($B105,MMWR_TRAD_AGG_STATE_PEN[],K$1,0),"ERROR")</f>
        <v>2</v>
      </c>
      <c r="L105" s="113">
        <f>IFERROR(VLOOKUP($B105,MMWR_TRAD_AGG_STATE_PEN[],L$1,0),"ERROR")</f>
        <v>2</v>
      </c>
      <c r="M105" s="115">
        <f t="shared" si="14"/>
        <v>1</v>
      </c>
      <c r="N105" s="112">
        <f>IFERROR(VLOOKUP($B105,MMWR_TRAD_AGG_STATE_PEN[],N$1,0),"ERROR")</f>
        <v>11</v>
      </c>
      <c r="O105" s="113">
        <f>IFERROR(VLOOKUP($B105,MMWR_TRAD_AGG_STATE_PEN[],O$1,0),"ERROR")</f>
        <v>6</v>
      </c>
      <c r="P105" s="115">
        <f t="shared" si="15"/>
        <v>0.54545454545454541</v>
      </c>
      <c r="Q105" s="116">
        <f>IFERROR(VLOOKUP($B105,MMWR_TRAD_AGG_STATE_PEN[],Q$1,0),"ERROR")</f>
        <v>377</v>
      </c>
      <c r="R105" s="116">
        <f>IFERROR(VLOOKUP($B105,MMWR_TRAD_AGG_STATE_PEN[],R$1,0),"ERROR")</f>
        <v>51</v>
      </c>
      <c r="S105" s="116">
        <f>IFERROR(VLOOKUP($B105,MMWR_APP_STATE_PEN[],S$1,0),"ERROR")</f>
        <v>82</v>
      </c>
      <c r="T105" s="28"/>
    </row>
    <row r="106" spans="1:20" s="124" customFormat="1" x14ac:dyDescent="0.2">
      <c r="A106" s="28"/>
      <c r="B106" s="128" t="s">
        <v>420</v>
      </c>
      <c r="C106" s="110">
        <f>IFERROR(VLOOKUP($B106,MMWR_TRAD_AGG_STATE_PEN[],C$1,0),"ERROR")</f>
        <v>708</v>
      </c>
      <c r="D106" s="111">
        <f>IFERROR(VLOOKUP($B106,MMWR_TRAD_AGG_STATE_PEN[],D$1,0),"ERROR")</f>
        <v>44.3926553672</v>
      </c>
      <c r="E106" s="112">
        <f>IFERROR(VLOOKUP($B106,MMWR_TRAD_AGG_STATE_PEN[],E$1,0),"ERROR")</f>
        <v>1440</v>
      </c>
      <c r="F106" s="113">
        <f>IFERROR(VLOOKUP($B106,MMWR_TRAD_AGG_STATE_PEN[],F$1,0),"ERROR")</f>
        <v>65</v>
      </c>
      <c r="G106" s="114">
        <f t="shared" si="12"/>
        <v>4.5138888888888888E-2</v>
      </c>
      <c r="H106" s="112">
        <f>IFERROR(VLOOKUP($B106,MMWR_TRAD_AGG_STATE_PEN[],H$1,0),"ERROR")</f>
        <v>1390</v>
      </c>
      <c r="I106" s="113">
        <f>IFERROR(VLOOKUP($B106,MMWR_TRAD_AGG_STATE_PEN[],I$1,0),"ERROR")</f>
        <v>72</v>
      </c>
      <c r="J106" s="115">
        <f t="shared" si="13"/>
        <v>5.1798561151079135E-2</v>
      </c>
      <c r="K106" s="112">
        <f>IFERROR(VLOOKUP($B106,MMWR_TRAD_AGG_STATE_PEN[],K$1,0),"ERROR")</f>
        <v>14</v>
      </c>
      <c r="L106" s="113">
        <f>IFERROR(VLOOKUP($B106,MMWR_TRAD_AGG_STATE_PEN[],L$1,0),"ERROR")</f>
        <v>13</v>
      </c>
      <c r="M106" s="115">
        <f t="shared" si="14"/>
        <v>0.9285714285714286</v>
      </c>
      <c r="N106" s="112">
        <f>IFERROR(VLOOKUP($B106,MMWR_TRAD_AGG_STATE_PEN[],N$1,0),"ERROR")</f>
        <v>58</v>
      </c>
      <c r="O106" s="113">
        <f>IFERROR(VLOOKUP($B106,MMWR_TRAD_AGG_STATE_PEN[],O$1,0),"ERROR")</f>
        <v>29</v>
      </c>
      <c r="P106" s="115">
        <f t="shared" si="15"/>
        <v>0.5</v>
      </c>
      <c r="Q106" s="116">
        <f>IFERROR(VLOOKUP($B106,MMWR_TRAD_AGG_STATE_PEN[],Q$1,0),"ERROR")</f>
        <v>960</v>
      </c>
      <c r="R106" s="116">
        <f>IFERROR(VLOOKUP($B106,MMWR_TRAD_AGG_STATE_PEN[],R$1,0),"ERROR")</f>
        <v>254</v>
      </c>
      <c r="S106" s="116">
        <f>IFERROR(VLOOKUP($B106,MMWR_APP_STATE_PEN[],S$1,0),"ERROR")</f>
        <v>404</v>
      </c>
      <c r="T106" s="28"/>
    </row>
    <row r="107" spans="1:20" s="124" customFormat="1" x14ac:dyDescent="0.2">
      <c r="A107" s="28"/>
      <c r="B107" s="128" t="s">
        <v>416</v>
      </c>
      <c r="C107" s="110">
        <f>IFERROR(VLOOKUP($B107,MMWR_TRAD_AGG_STATE_PEN[],C$1,0),"ERROR")</f>
        <v>65</v>
      </c>
      <c r="D107" s="111">
        <f>IFERROR(VLOOKUP($B107,MMWR_TRAD_AGG_STATE_PEN[],D$1,0),"ERROR")</f>
        <v>37.138461538500003</v>
      </c>
      <c r="E107" s="112">
        <f>IFERROR(VLOOKUP($B107,MMWR_TRAD_AGG_STATE_PEN[],E$1,0),"ERROR")</f>
        <v>158</v>
      </c>
      <c r="F107" s="113">
        <f>IFERROR(VLOOKUP($B107,MMWR_TRAD_AGG_STATE_PEN[],F$1,0),"ERROR")</f>
        <v>10</v>
      </c>
      <c r="G107" s="114">
        <f t="shared" si="12"/>
        <v>6.3291139240506333E-2</v>
      </c>
      <c r="H107" s="112">
        <f>IFERROR(VLOOKUP($B107,MMWR_TRAD_AGG_STATE_PEN[],H$1,0),"ERROR")</f>
        <v>121</v>
      </c>
      <c r="I107" s="113">
        <f>IFERROR(VLOOKUP($B107,MMWR_TRAD_AGG_STATE_PEN[],I$1,0),"ERROR")</f>
        <v>5</v>
      </c>
      <c r="J107" s="115">
        <f t="shared" si="13"/>
        <v>4.1322314049586778E-2</v>
      </c>
      <c r="K107" s="112">
        <f>IFERROR(VLOOKUP($B107,MMWR_TRAD_AGG_STATE_PEN[],K$1,0),"ERROR")</f>
        <v>0</v>
      </c>
      <c r="L107" s="113">
        <f>IFERROR(VLOOKUP($B107,MMWR_TRAD_AGG_STATE_PEN[],L$1,0),"ERROR")</f>
        <v>0</v>
      </c>
      <c r="M107" s="115" t="str">
        <f t="shared" si="14"/>
        <v>0%</v>
      </c>
      <c r="N107" s="112">
        <f>IFERROR(VLOOKUP($B107,MMWR_TRAD_AGG_STATE_PEN[],N$1,0),"ERROR")</f>
        <v>7</v>
      </c>
      <c r="O107" s="113">
        <f>IFERROR(VLOOKUP($B107,MMWR_TRAD_AGG_STATE_PEN[],O$1,0),"ERROR")</f>
        <v>6</v>
      </c>
      <c r="P107" s="115">
        <f t="shared" si="15"/>
        <v>0.8571428571428571</v>
      </c>
      <c r="Q107" s="116">
        <f>IFERROR(VLOOKUP($B107,MMWR_TRAD_AGG_STATE_PEN[],Q$1,0),"ERROR")</f>
        <v>106</v>
      </c>
      <c r="R107" s="116">
        <f>IFERROR(VLOOKUP($B107,MMWR_TRAD_AGG_STATE_PEN[],R$1,0),"ERROR")</f>
        <v>19</v>
      </c>
      <c r="S107" s="116">
        <f>IFERROR(VLOOKUP($B107,MMWR_APP_STATE_PEN[],S$1,0),"ERROR")</f>
        <v>22</v>
      </c>
      <c r="T107" s="28"/>
    </row>
    <row r="108" spans="1:20" s="124" customFormat="1" x14ac:dyDescent="0.2">
      <c r="A108" s="28"/>
      <c r="B108" s="128" t="s">
        <v>431</v>
      </c>
      <c r="C108" s="110">
        <f>IFERROR(VLOOKUP($B108,MMWR_TRAD_AGG_STATE_PEN[],C$1,0),"ERROR")</f>
        <v>19</v>
      </c>
      <c r="D108" s="111">
        <f>IFERROR(VLOOKUP($B108,MMWR_TRAD_AGG_STATE_PEN[],D$1,0),"ERROR")</f>
        <v>37.578947368400001</v>
      </c>
      <c r="E108" s="112">
        <f>IFERROR(VLOOKUP($B108,MMWR_TRAD_AGG_STATE_PEN[],E$1,0),"ERROR")</f>
        <v>33</v>
      </c>
      <c r="F108" s="113">
        <f>IFERROR(VLOOKUP($B108,MMWR_TRAD_AGG_STATE_PEN[],F$1,0),"ERROR")</f>
        <v>1</v>
      </c>
      <c r="G108" s="114">
        <f t="shared" si="12"/>
        <v>3.0303030303030304E-2</v>
      </c>
      <c r="H108" s="112">
        <f>IFERROR(VLOOKUP($B108,MMWR_TRAD_AGG_STATE_PEN[],H$1,0),"ERROR")</f>
        <v>32</v>
      </c>
      <c r="I108" s="113">
        <f>IFERROR(VLOOKUP($B108,MMWR_TRAD_AGG_STATE_PEN[],I$1,0),"ERROR")</f>
        <v>4</v>
      </c>
      <c r="J108" s="115">
        <f t="shared" si="13"/>
        <v>0.125</v>
      </c>
      <c r="K108" s="112">
        <f>IFERROR(VLOOKUP($B108,MMWR_TRAD_AGG_STATE_PEN[],K$1,0),"ERROR")</f>
        <v>0</v>
      </c>
      <c r="L108" s="113">
        <f>IFERROR(VLOOKUP($B108,MMWR_TRAD_AGG_STATE_PEN[],L$1,0),"ERROR")</f>
        <v>0</v>
      </c>
      <c r="M108" s="115" t="str">
        <f t="shared" si="14"/>
        <v>0%</v>
      </c>
      <c r="N108" s="112">
        <f>IFERROR(VLOOKUP($B108,MMWR_TRAD_AGG_STATE_PEN[],N$1,0),"ERROR")</f>
        <v>0</v>
      </c>
      <c r="O108" s="113">
        <f>IFERROR(VLOOKUP($B108,MMWR_TRAD_AGG_STATE_PEN[],O$1,0),"ERROR")</f>
        <v>0</v>
      </c>
      <c r="P108" s="115" t="str">
        <f t="shared" si="15"/>
        <v>0%</v>
      </c>
      <c r="Q108" s="116">
        <f>IFERROR(VLOOKUP($B108,MMWR_TRAD_AGG_STATE_PEN[],Q$1,0),"ERROR")</f>
        <v>24</v>
      </c>
      <c r="R108" s="116">
        <f>IFERROR(VLOOKUP($B108,MMWR_TRAD_AGG_STATE_PEN[],R$1,0),"ERROR")</f>
        <v>2</v>
      </c>
      <c r="S108" s="116">
        <f>IFERROR(VLOOKUP($B108,MMWR_APP_STATE_PEN[],S$1,0),"ERROR")</f>
        <v>7</v>
      </c>
      <c r="T108" s="28"/>
    </row>
    <row r="109" spans="1:20" s="124" customFormat="1" x14ac:dyDescent="0.2">
      <c r="A109" s="28"/>
      <c r="B109" s="127" t="s">
        <v>414</v>
      </c>
      <c r="C109" s="103">
        <f>IFERROR(VLOOKUP($B109,MMWR_TRAD_AGG_ST_DISTRICT_PEN[],C$1,0),"ERROR")</f>
        <v>1505</v>
      </c>
      <c r="D109" s="104">
        <f>IFERROR(VLOOKUP($B109,MMWR_TRAD_AGG_ST_DISTRICT_PEN[],D$1,0),"ERROR")</f>
        <v>43.499667774099997</v>
      </c>
      <c r="E109" s="103">
        <f>IFERROR(VLOOKUP($B109,MMWR_TRAD_AGG_ST_DISTRICT_PEN[],E$1,0),"ERROR")</f>
        <v>3475</v>
      </c>
      <c r="F109" s="103">
        <f>IFERROR(VLOOKUP($B109,MMWR_TRAD_AGG_ST_DISTRICT_PEN[],F$1,0),"ERROR")</f>
        <v>142</v>
      </c>
      <c r="G109" s="105">
        <f t="shared" si="12"/>
        <v>4.0863309352517987E-2</v>
      </c>
      <c r="H109" s="103">
        <f>IFERROR(VLOOKUP($B109,MMWR_TRAD_AGG_ST_DISTRICT_PEN[],H$1,0),"ERROR")</f>
        <v>2595</v>
      </c>
      <c r="I109" s="103">
        <f>IFERROR(VLOOKUP($B109,MMWR_TRAD_AGG_ST_DISTRICT_PEN[],I$1,0),"ERROR")</f>
        <v>171</v>
      </c>
      <c r="J109" s="105">
        <f t="shared" si="13"/>
        <v>6.5895953757225428E-2</v>
      </c>
      <c r="K109" s="103">
        <f>IFERROR(VLOOKUP($B109,MMWR_TRAD_AGG_ST_DISTRICT_PEN[],K$1,0),"ERROR")</f>
        <v>31</v>
      </c>
      <c r="L109" s="103">
        <f>IFERROR(VLOOKUP($B109,MMWR_TRAD_AGG_ST_DISTRICT_PEN[],L$1,0),"ERROR")</f>
        <v>30</v>
      </c>
      <c r="M109" s="105">
        <f t="shared" si="14"/>
        <v>0.967741935483871</v>
      </c>
      <c r="N109" s="103">
        <f>IFERROR(VLOOKUP($B109,MMWR_TRAD_AGG_ST_DISTRICT_PEN[],N$1,0),"ERROR")</f>
        <v>132</v>
      </c>
      <c r="O109" s="103">
        <f>IFERROR(VLOOKUP($B109,MMWR_TRAD_AGG_ST_DISTRICT_PEN[],O$1,0),"ERROR")</f>
        <v>68</v>
      </c>
      <c r="P109" s="105">
        <f t="shared" si="15"/>
        <v>0.51515151515151514</v>
      </c>
      <c r="Q109" s="103">
        <f>IFERROR(VLOOKUP($B109,MMWR_TRAD_AGG_ST_DISTRICT_PEN[],Q$1,0),"ERROR")</f>
        <v>2117</v>
      </c>
      <c r="R109" s="107">
        <f>IFERROR(VLOOKUP($B109,MMWR_TRAD_AGG_ST_DISTRICT_PEN[],R$1,0),"ERROR")</f>
        <v>557</v>
      </c>
      <c r="S109" s="107">
        <f>IFERROR(VLOOKUP($B109,MMWR_APP_STATE_PEN[],S$1,0),"ERROR")</f>
        <v>685</v>
      </c>
      <c r="T109" s="28"/>
    </row>
    <row r="110" spans="1:20" s="124" customFormat="1" x14ac:dyDescent="0.2">
      <c r="A110" s="28"/>
      <c r="B110" s="128" t="s">
        <v>434</v>
      </c>
      <c r="C110" s="110">
        <f>IFERROR(VLOOKUP($B110,MMWR_TRAD_AGG_STATE_PEN[],C$1,0),"ERROR")</f>
        <v>9</v>
      </c>
      <c r="D110" s="111">
        <f>IFERROR(VLOOKUP($B110,MMWR_TRAD_AGG_STATE_PEN[],D$1,0),"ERROR")</f>
        <v>59.222222222200003</v>
      </c>
      <c r="E110" s="112">
        <f>IFERROR(VLOOKUP($B110,MMWR_TRAD_AGG_STATE_PEN[],E$1,0),"ERROR")</f>
        <v>13</v>
      </c>
      <c r="F110" s="113">
        <f>IFERROR(VLOOKUP($B110,MMWR_TRAD_AGG_STATE_PEN[],F$1,0),"ERROR")</f>
        <v>0</v>
      </c>
      <c r="G110" s="114">
        <f t="shared" si="12"/>
        <v>0</v>
      </c>
      <c r="H110" s="112">
        <f>IFERROR(VLOOKUP($B110,MMWR_TRAD_AGG_STATE_PEN[],H$1,0),"ERROR")</f>
        <v>21</v>
      </c>
      <c r="I110" s="113">
        <f>IFERROR(VLOOKUP($B110,MMWR_TRAD_AGG_STATE_PEN[],I$1,0),"ERROR")</f>
        <v>3</v>
      </c>
      <c r="J110" s="115">
        <f t="shared" si="13"/>
        <v>0.14285714285714285</v>
      </c>
      <c r="K110" s="112">
        <f>IFERROR(VLOOKUP($B110,MMWR_TRAD_AGG_STATE_PEN[],K$1,0),"ERROR")</f>
        <v>0</v>
      </c>
      <c r="L110" s="113">
        <f>IFERROR(VLOOKUP($B110,MMWR_TRAD_AGG_STATE_PEN[],L$1,0),"ERROR")</f>
        <v>0</v>
      </c>
      <c r="M110" s="115" t="str">
        <f t="shared" si="14"/>
        <v>0%</v>
      </c>
      <c r="N110" s="112">
        <f>IFERROR(VLOOKUP($B110,MMWR_TRAD_AGG_STATE_PEN[],N$1,0),"ERROR")</f>
        <v>1</v>
      </c>
      <c r="O110" s="113">
        <f>IFERROR(VLOOKUP($B110,MMWR_TRAD_AGG_STATE_PEN[],O$1,0),"ERROR")</f>
        <v>1</v>
      </c>
      <c r="P110" s="115">
        <f t="shared" si="15"/>
        <v>1</v>
      </c>
      <c r="Q110" s="116">
        <f>IFERROR(VLOOKUP($B110,MMWR_TRAD_AGG_STATE_PEN[],Q$1,0),"ERROR")</f>
        <v>20</v>
      </c>
      <c r="R110" s="116">
        <f>IFERROR(VLOOKUP($B110,MMWR_TRAD_AGG_STATE_PEN[],R$1,0),"ERROR")</f>
        <v>5</v>
      </c>
      <c r="S110" s="116">
        <f>IFERROR(VLOOKUP($B110,MMWR_APP_STATE_PEN[],S$1,0),"ERROR")</f>
        <v>3</v>
      </c>
      <c r="T110" s="28"/>
    </row>
    <row r="111" spans="1:20" s="124" customFormat="1" x14ac:dyDescent="0.2">
      <c r="A111" s="28"/>
      <c r="B111" s="128" t="s">
        <v>436</v>
      </c>
      <c r="C111" s="110">
        <f>IFERROR(VLOOKUP($B111,MMWR_TRAD_AGG_STATE_PEN[],C$1,0),"ERROR")</f>
        <v>199</v>
      </c>
      <c r="D111" s="111">
        <f>IFERROR(VLOOKUP($B111,MMWR_TRAD_AGG_STATE_PEN[],D$1,0),"ERROR")</f>
        <v>43.758793969800003</v>
      </c>
      <c r="E111" s="112">
        <f>IFERROR(VLOOKUP($B111,MMWR_TRAD_AGG_STATE_PEN[],E$1,0),"ERROR")</f>
        <v>452</v>
      </c>
      <c r="F111" s="113">
        <f>IFERROR(VLOOKUP($B111,MMWR_TRAD_AGG_STATE_PEN[],F$1,0),"ERROR")</f>
        <v>20</v>
      </c>
      <c r="G111" s="114">
        <f t="shared" si="12"/>
        <v>4.4247787610619468E-2</v>
      </c>
      <c r="H111" s="112">
        <f>IFERROR(VLOOKUP($B111,MMWR_TRAD_AGG_STATE_PEN[],H$1,0),"ERROR")</f>
        <v>329</v>
      </c>
      <c r="I111" s="113">
        <f>IFERROR(VLOOKUP($B111,MMWR_TRAD_AGG_STATE_PEN[],I$1,0),"ERROR")</f>
        <v>16</v>
      </c>
      <c r="J111" s="115">
        <f t="shared" si="13"/>
        <v>4.8632218844984802E-2</v>
      </c>
      <c r="K111" s="112">
        <f>IFERROR(VLOOKUP($B111,MMWR_TRAD_AGG_STATE_PEN[],K$1,0),"ERROR")</f>
        <v>3</v>
      </c>
      <c r="L111" s="113">
        <f>IFERROR(VLOOKUP($B111,MMWR_TRAD_AGG_STATE_PEN[],L$1,0),"ERROR")</f>
        <v>3</v>
      </c>
      <c r="M111" s="115">
        <f t="shared" si="14"/>
        <v>1</v>
      </c>
      <c r="N111" s="112">
        <f>IFERROR(VLOOKUP($B111,MMWR_TRAD_AGG_STATE_PEN[],N$1,0),"ERROR")</f>
        <v>10</v>
      </c>
      <c r="O111" s="113">
        <f>IFERROR(VLOOKUP($B111,MMWR_TRAD_AGG_STATE_PEN[],O$1,0),"ERROR")</f>
        <v>3</v>
      </c>
      <c r="P111" s="115">
        <f t="shared" si="15"/>
        <v>0.3</v>
      </c>
      <c r="Q111" s="116">
        <f>IFERROR(VLOOKUP($B111,MMWR_TRAD_AGG_STATE_PEN[],Q$1,0),"ERROR")</f>
        <v>289</v>
      </c>
      <c r="R111" s="116">
        <f>IFERROR(VLOOKUP($B111,MMWR_TRAD_AGG_STATE_PEN[],R$1,0),"ERROR")</f>
        <v>56</v>
      </c>
      <c r="S111" s="116">
        <f>IFERROR(VLOOKUP($B111,MMWR_APP_STATE_PEN[],S$1,0),"ERROR")</f>
        <v>81</v>
      </c>
      <c r="T111" s="28"/>
    </row>
    <row r="112" spans="1:20" s="124" customFormat="1" x14ac:dyDescent="0.2">
      <c r="A112" s="28"/>
      <c r="B112" s="128" t="s">
        <v>417</v>
      </c>
      <c r="C112" s="110">
        <f>IFERROR(VLOOKUP($B112,MMWR_TRAD_AGG_STATE_PEN[],C$1,0),"ERROR")</f>
        <v>787</v>
      </c>
      <c r="D112" s="111">
        <f>IFERROR(VLOOKUP($B112,MMWR_TRAD_AGG_STATE_PEN[],D$1,0),"ERROR")</f>
        <v>43.081321473999999</v>
      </c>
      <c r="E112" s="112">
        <f>IFERROR(VLOOKUP($B112,MMWR_TRAD_AGG_STATE_PEN[],E$1,0),"ERROR")</f>
        <v>1866</v>
      </c>
      <c r="F112" s="113">
        <f>IFERROR(VLOOKUP($B112,MMWR_TRAD_AGG_STATE_PEN[],F$1,0),"ERROR")</f>
        <v>68</v>
      </c>
      <c r="G112" s="114">
        <f t="shared" si="12"/>
        <v>3.6441586280814578E-2</v>
      </c>
      <c r="H112" s="112">
        <f>IFERROR(VLOOKUP($B112,MMWR_TRAD_AGG_STATE_PEN[],H$1,0),"ERROR")</f>
        <v>1343</v>
      </c>
      <c r="I112" s="113">
        <f>IFERROR(VLOOKUP($B112,MMWR_TRAD_AGG_STATE_PEN[],I$1,0),"ERROR")</f>
        <v>96</v>
      </c>
      <c r="J112" s="115">
        <f t="shared" si="13"/>
        <v>7.1481757259865969E-2</v>
      </c>
      <c r="K112" s="112">
        <f>IFERROR(VLOOKUP($B112,MMWR_TRAD_AGG_STATE_PEN[],K$1,0),"ERROR")</f>
        <v>20</v>
      </c>
      <c r="L112" s="113">
        <f>IFERROR(VLOOKUP($B112,MMWR_TRAD_AGG_STATE_PEN[],L$1,0),"ERROR")</f>
        <v>19</v>
      </c>
      <c r="M112" s="115">
        <f t="shared" si="14"/>
        <v>0.95</v>
      </c>
      <c r="N112" s="112">
        <f>IFERROR(VLOOKUP($B112,MMWR_TRAD_AGG_STATE_PEN[],N$1,0),"ERROR")</f>
        <v>66</v>
      </c>
      <c r="O112" s="113">
        <f>IFERROR(VLOOKUP($B112,MMWR_TRAD_AGG_STATE_PEN[],O$1,0),"ERROR")</f>
        <v>39</v>
      </c>
      <c r="P112" s="115">
        <f t="shared" si="15"/>
        <v>0.59090909090909094</v>
      </c>
      <c r="Q112" s="116">
        <f>IFERROR(VLOOKUP($B112,MMWR_TRAD_AGG_STATE_PEN[],Q$1,0),"ERROR")</f>
        <v>908</v>
      </c>
      <c r="R112" s="116">
        <f>IFERROR(VLOOKUP($B112,MMWR_TRAD_AGG_STATE_PEN[],R$1,0),"ERROR")</f>
        <v>314</v>
      </c>
      <c r="S112" s="116">
        <f>IFERROR(VLOOKUP($B112,MMWR_APP_STATE_PEN[],S$1,0),"ERROR")</f>
        <v>346</v>
      </c>
      <c r="T112" s="28"/>
    </row>
    <row r="113" spans="1:20" s="124" customFormat="1" x14ac:dyDescent="0.2">
      <c r="A113" s="28"/>
      <c r="B113" s="128" t="s">
        <v>438</v>
      </c>
      <c r="C113" s="110">
        <f>IFERROR(VLOOKUP($B113,MMWR_TRAD_AGG_STATE_PEN[],C$1,0),"ERROR")</f>
        <v>13</v>
      </c>
      <c r="D113" s="111">
        <f>IFERROR(VLOOKUP($B113,MMWR_TRAD_AGG_STATE_PEN[],D$1,0),"ERROR")</f>
        <v>49.846153846199996</v>
      </c>
      <c r="E113" s="112">
        <f>IFERROR(VLOOKUP($B113,MMWR_TRAD_AGG_STATE_PEN[],E$1,0),"ERROR")</f>
        <v>24</v>
      </c>
      <c r="F113" s="113">
        <f>IFERROR(VLOOKUP($B113,MMWR_TRAD_AGG_STATE_PEN[],F$1,0),"ERROR")</f>
        <v>0</v>
      </c>
      <c r="G113" s="114">
        <f t="shared" si="12"/>
        <v>0</v>
      </c>
      <c r="H113" s="112">
        <f>IFERROR(VLOOKUP($B113,MMWR_TRAD_AGG_STATE_PEN[],H$1,0),"ERROR")</f>
        <v>21</v>
      </c>
      <c r="I113" s="113">
        <f>IFERROR(VLOOKUP($B113,MMWR_TRAD_AGG_STATE_PEN[],I$1,0),"ERROR")</f>
        <v>1</v>
      </c>
      <c r="J113" s="115">
        <f t="shared" si="13"/>
        <v>4.7619047619047616E-2</v>
      </c>
      <c r="K113" s="112">
        <f>IFERROR(VLOOKUP($B113,MMWR_TRAD_AGG_STATE_PEN[],K$1,0),"ERROR")</f>
        <v>2</v>
      </c>
      <c r="L113" s="113">
        <f>IFERROR(VLOOKUP($B113,MMWR_TRAD_AGG_STATE_PEN[],L$1,0),"ERROR")</f>
        <v>2</v>
      </c>
      <c r="M113" s="115">
        <f t="shared" si="14"/>
        <v>1</v>
      </c>
      <c r="N113" s="112">
        <f>IFERROR(VLOOKUP($B113,MMWR_TRAD_AGG_STATE_PEN[],N$1,0),"ERROR")</f>
        <v>0</v>
      </c>
      <c r="O113" s="113">
        <f>IFERROR(VLOOKUP($B113,MMWR_TRAD_AGG_STATE_PEN[],O$1,0),"ERROR")</f>
        <v>0</v>
      </c>
      <c r="P113" s="115" t="str">
        <f t="shared" si="15"/>
        <v>0%</v>
      </c>
      <c r="Q113" s="116">
        <f>IFERROR(VLOOKUP($B113,MMWR_TRAD_AGG_STATE_PEN[],Q$1,0),"ERROR")</f>
        <v>37</v>
      </c>
      <c r="R113" s="116">
        <f>IFERROR(VLOOKUP($B113,MMWR_TRAD_AGG_STATE_PEN[],R$1,0),"ERROR")</f>
        <v>5</v>
      </c>
      <c r="S113" s="116">
        <f>IFERROR(VLOOKUP($B113,MMWR_APP_STATE_PEN[],S$1,0),"ERROR")</f>
        <v>13</v>
      </c>
      <c r="T113" s="28"/>
    </row>
    <row r="114" spans="1:20" s="124" customFormat="1" x14ac:dyDescent="0.2">
      <c r="A114" s="28"/>
      <c r="B114" s="128" t="s">
        <v>418</v>
      </c>
      <c r="C114" s="110">
        <f>IFERROR(VLOOKUP($B114,MMWR_TRAD_AGG_STATE_PEN[],C$1,0),"ERROR")</f>
        <v>55</v>
      </c>
      <c r="D114" s="111">
        <f>IFERROR(VLOOKUP($B114,MMWR_TRAD_AGG_STATE_PEN[],D$1,0),"ERROR")</f>
        <v>41.0727272727</v>
      </c>
      <c r="E114" s="112">
        <f>IFERROR(VLOOKUP($B114,MMWR_TRAD_AGG_STATE_PEN[],E$1,0),"ERROR")</f>
        <v>107</v>
      </c>
      <c r="F114" s="113">
        <f>IFERROR(VLOOKUP($B114,MMWR_TRAD_AGG_STATE_PEN[],F$1,0),"ERROR")</f>
        <v>7</v>
      </c>
      <c r="G114" s="114">
        <f t="shared" si="12"/>
        <v>6.5420560747663545E-2</v>
      </c>
      <c r="H114" s="112">
        <f>IFERROR(VLOOKUP($B114,MMWR_TRAD_AGG_STATE_PEN[],H$1,0),"ERROR")</f>
        <v>88</v>
      </c>
      <c r="I114" s="113">
        <f>IFERROR(VLOOKUP($B114,MMWR_TRAD_AGG_STATE_PEN[],I$1,0),"ERROR")</f>
        <v>3</v>
      </c>
      <c r="J114" s="115">
        <f t="shared" si="13"/>
        <v>3.4090909090909088E-2</v>
      </c>
      <c r="K114" s="112">
        <f>IFERROR(VLOOKUP($B114,MMWR_TRAD_AGG_STATE_PEN[],K$1,0),"ERROR")</f>
        <v>1</v>
      </c>
      <c r="L114" s="113">
        <f>IFERROR(VLOOKUP($B114,MMWR_TRAD_AGG_STATE_PEN[],L$1,0),"ERROR")</f>
        <v>1</v>
      </c>
      <c r="M114" s="115">
        <f t="shared" si="14"/>
        <v>1</v>
      </c>
      <c r="N114" s="112">
        <f>IFERROR(VLOOKUP($B114,MMWR_TRAD_AGG_STATE_PEN[],N$1,0),"ERROR")</f>
        <v>0</v>
      </c>
      <c r="O114" s="113">
        <f>IFERROR(VLOOKUP($B114,MMWR_TRAD_AGG_STATE_PEN[],O$1,0),"ERROR")</f>
        <v>0</v>
      </c>
      <c r="P114" s="115" t="str">
        <f t="shared" si="15"/>
        <v>0%</v>
      </c>
      <c r="Q114" s="116">
        <f>IFERROR(VLOOKUP($B114,MMWR_TRAD_AGG_STATE_PEN[],Q$1,0),"ERROR")</f>
        <v>89</v>
      </c>
      <c r="R114" s="116">
        <f>IFERROR(VLOOKUP($B114,MMWR_TRAD_AGG_STATE_PEN[],R$1,0),"ERROR")</f>
        <v>18</v>
      </c>
      <c r="S114" s="116">
        <f>IFERROR(VLOOKUP($B114,MMWR_APP_STATE_PEN[],S$1,0),"ERROR")</f>
        <v>17</v>
      </c>
      <c r="T114" s="28"/>
    </row>
    <row r="115" spans="1:20" s="124" customFormat="1" x14ac:dyDescent="0.2">
      <c r="A115" s="28"/>
      <c r="B115" s="128" t="s">
        <v>423</v>
      </c>
      <c r="C115" s="110">
        <f>IFERROR(VLOOKUP($B115,MMWR_TRAD_AGG_STATE_PEN[],C$1,0),"ERROR")</f>
        <v>88</v>
      </c>
      <c r="D115" s="111">
        <f>IFERROR(VLOOKUP($B115,MMWR_TRAD_AGG_STATE_PEN[],D$1,0),"ERROR")</f>
        <v>44.897727272700003</v>
      </c>
      <c r="E115" s="112">
        <f>IFERROR(VLOOKUP($B115,MMWR_TRAD_AGG_STATE_PEN[],E$1,0),"ERROR")</f>
        <v>182</v>
      </c>
      <c r="F115" s="113">
        <f>IFERROR(VLOOKUP($B115,MMWR_TRAD_AGG_STATE_PEN[],F$1,0),"ERROR")</f>
        <v>8</v>
      </c>
      <c r="G115" s="114">
        <f t="shared" si="12"/>
        <v>4.3956043956043959E-2</v>
      </c>
      <c r="H115" s="112">
        <f>IFERROR(VLOOKUP($B115,MMWR_TRAD_AGG_STATE_PEN[],H$1,0),"ERROR")</f>
        <v>152</v>
      </c>
      <c r="I115" s="113">
        <f>IFERROR(VLOOKUP($B115,MMWR_TRAD_AGG_STATE_PEN[],I$1,0),"ERROR")</f>
        <v>7</v>
      </c>
      <c r="J115" s="115">
        <f t="shared" si="13"/>
        <v>4.6052631578947366E-2</v>
      </c>
      <c r="K115" s="112">
        <f>IFERROR(VLOOKUP($B115,MMWR_TRAD_AGG_STATE_PEN[],K$1,0),"ERROR")</f>
        <v>1</v>
      </c>
      <c r="L115" s="113">
        <f>IFERROR(VLOOKUP($B115,MMWR_TRAD_AGG_STATE_PEN[],L$1,0),"ERROR")</f>
        <v>1</v>
      </c>
      <c r="M115" s="115">
        <f t="shared" si="14"/>
        <v>1</v>
      </c>
      <c r="N115" s="112">
        <f>IFERROR(VLOOKUP($B115,MMWR_TRAD_AGG_STATE_PEN[],N$1,0),"ERROR")</f>
        <v>9</v>
      </c>
      <c r="O115" s="113">
        <f>IFERROR(VLOOKUP($B115,MMWR_TRAD_AGG_STATE_PEN[],O$1,0),"ERROR")</f>
        <v>4</v>
      </c>
      <c r="P115" s="115">
        <f t="shared" si="15"/>
        <v>0.44444444444444442</v>
      </c>
      <c r="Q115" s="116">
        <f>IFERROR(VLOOKUP($B115,MMWR_TRAD_AGG_STATE_PEN[],Q$1,0),"ERROR")</f>
        <v>99</v>
      </c>
      <c r="R115" s="116">
        <f>IFERROR(VLOOKUP($B115,MMWR_TRAD_AGG_STATE_PEN[],R$1,0),"ERROR")</f>
        <v>32</v>
      </c>
      <c r="S115" s="116">
        <f>IFERROR(VLOOKUP($B115,MMWR_APP_STATE_PEN[],S$1,0),"ERROR")</f>
        <v>63</v>
      </c>
      <c r="T115" s="28"/>
    </row>
    <row r="116" spans="1:20" s="124" customFormat="1" x14ac:dyDescent="0.2">
      <c r="A116" s="28"/>
      <c r="B116" s="128" t="s">
        <v>415</v>
      </c>
      <c r="C116" s="110">
        <f>IFERROR(VLOOKUP($B116,MMWR_TRAD_AGG_STATE_PEN[],C$1,0),"ERROR")</f>
        <v>54</v>
      </c>
      <c r="D116" s="111">
        <f>IFERROR(VLOOKUP($B116,MMWR_TRAD_AGG_STATE_PEN[],D$1,0),"ERROR")</f>
        <v>41.666666666700003</v>
      </c>
      <c r="E116" s="112">
        <f>IFERROR(VLOOKUP($B116,MMWR_TRAD_AGG_STATE_PEN[],E$1,0),"ERROR")</f>
        <v>133</v>
      </c>
      <c r="F116" s="113">
        <f>IFERROR(VLOOKUP($B116,MMWR_TRAD_AGG_STATE_PEN[],F$1,0),"ERROR")</f>
        <v>6</v>
      </c>
      <c r="G116" s="114">
        <f t="shared" si="12"/>
        <v>4.5112781954887216E-2</v>
      </c>
      <c r="H116" s="112">
        <f>IFERROR(VLOOKUP($B116,MMWR_TRAD_AGG_STATE_PEN[],H$1,0),"ERROR")</f>
        <v>108</v>
      </c>
      <c r="I116" s="113">
        <f>IFERROR(VLOOKUP($B116,MMWR_TRAD_AGG_STATE_PEN[],I$1,0),"ERROR")</f>
        <v>5</v>
      </c>
      <c r="J116" s="115">
        <f t="shared" si="13"/>
        <v>4.6296296296296294E-2</v>
      </c>
      <c r="K116" s="112">
        <f>IFERROR(VLOOKUP($B116,MMWR_TRAD_AGG_STATE_PEN[],K$1,0),"ERROR")</f>
        <v>0</v>
      </c>
      <c r="L116" s="113">
        <f>IFERROR(VLOOKUP($B116,MMWR_TRAD_AGG_STATE_PEN[],L$1,0),"ERROR")</f>
        <v>0</v>
      </c>
      <c r="M116" s="115" t="str">
        <f t="shared" si="14"/>
        <v>0%</v>
      </c>
      <c r="N116" s="112">
        <f>IFERROR(VLOOKUP($B116,MMWR_TRAD_AGG_STATE_PEN[],N$1,0),"ERROR")</f>
        <v>9</v>
      </c>
      <c r="O116" s="113">
        <f>IFERROR(VLOOKUP($B116,MMWR_TRAD_AGG_STATE_PEN[],O$1,0),"ERROR")</f>
        <v>2</v>
      </c>
      <c r="P116" s="115">
        <f t="shared" si="15"/>
        <v>0.22222222222222221</v>
      </c>
      <c r="Q116" s="116">
        <f>IFERROR(VLOOKUP($B116,MMWR_TRAD_AGG_STATE_PEN[],Q$1,0),"ERROR")</f>
        <v>140</v>
      </c>
      <c r="R116" s="116">
        <f>IFERROR(VLOOKUP($B116,MMWR_TRAD_AGG_STATE_PEN[],R$1,0),"ERROR")</f>
        <v>21</v>
      </c>
      <c r="S116" s="116">
        <f>IFERROR(VLOOKUP($B116,MMWR_APP_STATE_PEN[],S$1,0),"ERROR")</f>
        <v>28</v>
      </c>
      <c r="T116" s="28"/>
    </row>
    <row r="117" spans="1:20" s="124" customFormat="1" x14ac:dyDescent="0.2">
      <c r="A117" s="28"/>
      <c r="B117" s="128" t="s">
        <v>419</v>
      </c>
      <c r="C117" s="110">
        <f>IFERROR(VLOOKUP($B117,MMWR_TRAD_AGG_STATE_PEN[],C$1,0),"ERROR")</f>
        <v>134</v>
      </c>
      <c r="D117" s="111">
        <f>IFERROR(VLOOKUP($B117,MMWR_TRAD_AGG_STATE_PEN[],D$1,0),"ERROR")</f>
        <v>45.253731343299997</v>
      </c>
      <c r="E117" s="112">
        <f>IFERROR(VLOOKUP($B117,MMWR_TRAD_AGG_STATE_PEN[],E$1,0),"ERROR")</f>
        <v>271</v>
      </c>
      <c r="F117" s="113">
        <f>IFERROR(VLOOKUP($B117,MMWR_TRAD_AGG_STATE_PEN[],F$1,0),"ERROR")</f>
        <v>10</v>
      </c>
      <c r="G117" s="114">
        <f t="shared" si="12"/>
        <v>3.6900369003690037E-2</v>
      </c>
      <c r="H117" s="112">
        <f>IFERROR(VLOOKUP($B117,MMWR_TRAD_AGG_STATE_PEN[],H$1,0),"ERROR")</f>
        <v>213</v>
      </c>
      <c r="I117" s="113">
        <f>IFERROR(VLOOKUP($B117,MMWR_TRAD_AGG_STATE_PEN[],I$1,0),"ERROR")</f>
        <v>6</v>
      </c>
      <c r="J117" s="115">
        <f t="shared" si="13"/>
        <v>2.8169014084507043E-2</v>
      </c>
      <c r="K117" s="112">
        <f>IFERROR(VLOOKUP($B117,MMWR_TRAD_AGG_STATE_PEN[],K$1,0),"ERROR")</f>
        <v>2</v>
      </c>
      <c r="L117" s="113">
        <f>IFERROR(VLOOKUP($B117,MMWR_TRAD_AGG_STATE_PEN[],L$1,0),"ERROR")</f>
        <v>2</v>
      </c>
      <c r="M117" s="115">
        <f t="shared" si="14"/>
        <v>1</v>
      </c>
      <c r="N117" s="112">
        <f>IFERROR(VLOOKUP($B117,MMWR_TRAD_AGG_STATE_PEN[],N$1,0),"ERROR")</f>
        <v>16</v>
      </c>
      <c r="O117" s="113">
        <f>IFERROR(VLOOKUP($B117,MMWR_TRAD_AGG_STATE_PEN[],O$1,0),"ERROR")</f>
        <v>9</v>
      </c>
      <c r="P117" s="115">
        <f t="shared" si="15"/>
        <v>0.5625</v>
      </c>
      <c r="Q117" s="116">
        <f>IFERROR(VLOOKUP($B117,MMWR_TRAD_AGG_STATE_PEN[],Q$1,0),"ERROR")</f>
        <v>252</v>
      </c>
      <c r="R117" s="116">
        <f>IFERROR(VLOOKUP($B117,MMWR_TRAD_AGG_STATE_PEN[],R$1,0),"ERROR")</f>
        <v>33</v>
      </c>
      <c r="S117" s="116">
        <f>IFERROR(VLOOKUP($B117,MMWR_APP_STATE_PEN[],S$1,0),"ERROR")</f>
        <v>50</v>
      </c>
      <c r="T117" s="28"/>
    </row>
    <row r="118" spans="1:20" s="124" customFormat="1" x14ac:dyDescent="0.2">
      <c r="A118" s="28"/>
      <c r="B118" s="128" t="s">
        <v>83</v>
      </c>
      <c r="C118" s="110">
        <f>IFERROR(VLOOKUP($B118,MMWR_TRAD_AGG_STATE_PEN[],C$1,0),"ERROR")</f>
        <v>166</v>
      </c>
      <c r="D118" s="111">
        <f>IFERROR(VLOOKUP($B118,MMWR_TRAD_AGG_STATE_PEN[],D$1,0),"ERROR")</f>
        <v>43.066265060200003</v>
      </c>
      <c r="E118" s="112">
        <f>IFERROR(VLOOKUP($B118,MMWR_TRAD_AGG_STATE_PEN[],E$1,0),"ERROR")</f>
        <v>427</v>
      </c>
      <c r="F118" s="113">
        <f>IFERROR(VLOOKUP($B118,MMWR_TRAD_AGG_STATE_PEN[],F$1,0),"ERROR")</f>
        <v>23</v>
      </c>
      <c r="G118" s="114">
        <f t="shared" si="12"/>
        <v>5.3864168618266976E-2</v>
      </c>
      <c r="H118" s="112">
        <f>IFERROR(VLOOKUP($B118,MMWR_TRAD_AGG_STATE_PEN[],H$1,0),"ERROR")</f>
        <v>320</v>
      </c>
      <c r="I118" s="113">
        <f>IFERROR(VLOOKUP($B118,MMWR_TRAD_AGG_STATE_PEN[],I$1,0),"ERROR")</f>
        <v>34</v>
      </c>
      <c r="J118" s="115">
        <f t="shared" si="13"/>
        <v>0.10625</v>
      </c>
      <c r="K118" s="112">
        <f>IFERROR(VLOOKUP($B118,MMWR_TRAD_AGG_STATE_PEN[],K$1,0),"ERROR")</f>
        <v>2</v>
      </c>
      <c r="L118" s="113">
        <f>IFERROR(VLOOKUP($B118,MMWR_TRAD_AGG_STATE_PEN[],L$1,0),"ERROR")</f>
        <v>2</v>
      </c>
      <c r="M118" s="115">
        <f t="shared" si="14"/>
        <v>1</v>
      </c>
      <c r="N118" s="112">
        <f>IFERROR(VLOOKUP($B118,MMWR_TRAD_AGG_STATE_PEN[],N$1,0),"ERROR")</f>
        <v>21</v>
      </c>
      <c r="O118" s="113">
        <f>IFERROR(VLOOKUP($B118,MMWR_TRAD_AGG_STATE_PEN[],O$1,0),"ERROR")</f>
        <v>10</v>
      </c>
      <c r="P118" s="115">
        <f t="shared" si="15"/>
        <v>0.47619047619047616</v>
      </c>
      <c r="Q118" s="116">
        <f>IFERROR(VLOOKUP($B118,MMWR_TRAD_AGG_STATE_PEN[],Q$1,0),"ERROR")</f>
        <v>283</v>
      </c>
      <c r="R118" s="116">
        <f>IFERROR(VLOOKUP($B118,MMWR_TRAD_AGG_STATE_PEN[],R$1,0),"ERROR")</f>
        <v>73</v>
      </c>
      <c r="S118" s="116">
        <f>IFERROR(VLOOKUP($B118,MMWR_APP_STATE_PEN[],S$1,0),"ERROR")</f>
        <v>84</v>
      </c>
      <c r="T118" s="28"/>
    </row>
    <row r="119" spans="1:20" s="124" customFormat="1" x14ac:dyDescent="0.2">
      <c r="A119" s="28"/>
      <c r="B119" s="127" t="s">
        <v>390</v>
      </c>
      <c r="C119" s="103">
        <f>IFERROR(VLOOKUP($B119,MMWR_TRAD_AGG_ST_DISTRICT_PEN[],C$1,0),"ERROR")</f>
        <v>7144</v>
      </c>
      <c r="D119" s="104">
        <f>IFERROR(VLOOKUP($B119,MMWR_TRAD_AGG_ST_DISTRICT_PEN[],D$1,0),"ERROR")</f>
        <v>93.284854423300004</v>
      </c>
      <c r="E119" s="103">
        <f>IFERROR(VLOOKUP($B119,MMWR_TRAD_AGG_ST_DISTRICT_PEN[],E$1,0),"ERROR")</f>
        <v>5747</v>
      </c>
      <c r="F119" s="103">
        <f>IFERROR(VLOOKUP($B119,MMWR_TRAD_AGG_ST_DISTRICT_PEN[],F$1,0),"ERROR")</f>
        <v>918</v>
      </c>
      <c r="G119" s="105">
        <f t="shared" si="12"/>
        <v>0.15973551418131199</v>
      </c>
      <c r="H119" s="103">
        <f>IFERROR(VLOOKUP($B119,MMWR_TRAD_AGG_ST_DISTRICT_PEN[],H$1,0),"ERROR")</f>
        <v>11380</v>
      </c>
      <c r="I119" s="103">
        <f>IFERROR(VLOOKUP($B119,MMWR_TRAD_AGG_ST_DISTRICT_PEN[],I$1,0),"ERROR")</f>
        <v>2496</v>
      </c>
      <c r="J119" s="105">
        <f t="shared" si="13"/>
        <v>0.21933216168717048</v>
      </c>
      <c r="K119" s="103">
        <f>IFERROR(VLOOKUP($B119,MMWR_TRAD_AGG_ST_DISTRICT_PEN[],K$1,0),"ERROR")</f>
        <v>252</v>
      </c>
      <c r="L119" s="103">
        <f>IFERROR(VLOOKUP($B119,MMWR_TRAD_AGG_ST_DISTRICT_PEN[],L$1,0),"ERROR")</f>
        <v>249</v>
      </c>
      <c r="M119" s="105">
        <f t="shared" si="14"/>
        <v>0.98809523809523814</v>
      </c>
      <c r="N119" s="103">
        <f>IFERROR(VLOOKUP($B119,MMWR_TRAD_AGG_ST_DISTRICT_PEN[],N$1,0),"ERROR")</f>
        <v>1814</v>
      </c>
      <c r="O119" s="103">
        <f>IFERROR(VLOOKUP($B119,MMWR_TRAD_AGG_ST_DISTRICT_PEN[],O$1,0),"ERROR")</f>
        <v>320</v>
      </c>
      <c r="P119" s="105">
        <f t="shared" si="15"/>
        <v>0.17640573318632854</v>
      </c>
      <c r="Q119" s="103">
        <f>IFERROR(VLOOKUP($B119,MMWR_TRAD_AGG_ST_DISTRICT_PEN[],Q$1,0),"ERROR")</f>
        <v>1800</v>
      </c>
      <c r="R119" s="107">
        <f>IFERROR(VLOOKUP($B119,MMWR_TRAD_AGG_ST_DISTRICT_PEN[],R$1,0),"ERROR")</f>
        <v>1315</v>
      </c>
      <c r="S119" s="107">
        <f>IFERROR(VLOOKUP($B119,MMWR_APP_STATE_PEN[],S$1,0),"ERROR")</f>
        <v>1587</v>
      </c>
      <c r="T119" s="28"/>
    </row>
    <row r="120" spans="1:20" s="124" customFormat="1" x14ac:dyDescent="0.2">
      <c r="A120" s="28"/>
      <c r="B120" s="128" t="s">
        <v>398</v>
      </c>
      <c r="C120" s="110">
        <f>IFERROR(VLOOKUP($B120,MMWR_TRAD_AGG_STATE_PEN[],C$1,0),"ERROR")</f>
        <v>624</v>
      </c>
      <c r="D120" s="111">
        <f>IFERROR(VLOOKUP($B120,MMWR_TRAD_AGG_STATE_PEN[],D$1,0),"ERROR")</f>
        <v>65.980769230799993</v>
      </c>
      <c r="E120" s="112">
        <f>IFERROR(VLOOKUP($B120,MMWR_TRAD_AGG_STATE_PEN[],E$1,0),"ERROR")</f>
        <v>554</v>
      </c>
      <c r="F120" s="113">
        <f>IFERROR(VLOOKUP($B120,MMWR_TRAD_AGG_STATE_PEN[],F$1,0),"ERROR")</f>
        <v>29</v>
      </c>
      <c r="G120" s="114">
        <f t="shared" si="12"/>
        <v>5.2346570397111915E-2</v>
      </c>
      <c r="H120" s="112">
        <f>IFERROR(VLOOKUP($B120,MMWR_TRAD_AGG_STATE_PEN[],H$1,0),"ERROR")</f>
        <v>1079</v>
      </c>
      <c r="I120" s="113">
        <f>IFERROR(VLOOKUP($B120,MMWR_TRAD_AGG_STATE_PEN[],I$1,0),"ERROR")</f>
        <v>102</v>
      </c>
      <c r="J120" s="115">
        <f t="shared" si="13"/>
        <v>9.4531974050046333E-2</v>
      </c>
      <c r="K120" s="112">
        <f>IFERROR(VLOOKUP($B120,MMWR_TRAD_AGG_STATE_PEN[],K$1,0),"ERROR")</f>
        <v>8</v>
      </c>
      <c r="L120" s="113">
        <f>IFERROR(VLOOKUP($B120,MMWR_TRAD_AGG_STATE_PEN[],L$1,0),"ERROR")</f>
        <v>8</v>
      </c>
      <c r="M120" s="115">
        <f t="shared" si="14"/>
        <v>1</v>
      </c>
      <c r="N120" s="112">
        <f>IFERROR(VLOOKUP($B120,MMWR_TRAD_AGG_STATE_PEN[],N$1,0),"ERROR")</f>
        <v>51</v>
      </c>
      <c r="O120" s="113">
        <f>IFERROR(VLOOKUP($B120,MMWR_TRAD_AGG_STATE_PEN[],O$1,0),"ERROR")</f>
        <v>15</v>
      </c>
      <c r="P120" s="115">
        <f t="shared" si="15"/>
        <v>0.29411764705882354</v>
      </c>
      <c r="Q120" s="116">
        <f>IFERROR(VLOOKUP($B120,MMWR_TRAD_AGG_STATE_PEN[],Q$1,0),"ERROR")</f>
        <v>313</v>
      </c>
      <c r="R120" s="116">
        <f>IFERROR(VLOOKUP($B120,MMWR_TRAD_AGG_STATE_PEN[],R$1,0),"ERROR")</f>
        <v>47</v>
      </c>
      <c r="S120" s="116">
        <f>IFERROR(VLOOKUP($B120,MMWR_APP_STATE_PEN[],S$1,0),"ERROR")</f>
        <v>179</v>
      </c>
      <c r="T120" s="28"/>
    </row>
    <row r="121" spans="1:20" s="124" customFormat="1" x14ac:dyDescent="0.2">
      <c r="A121" s="28"/>
      <c r="B121" s="128" t="s">
        <v>435</v>
      </c>
      <c r="C121" s="110">
        <f>IFERROR(VLOOKUP($B121,MMWR_TRAD_AGG_STATE_PEN[],C$1,0),"ERROR")</f>
        <v>2316</v>
      </c>
      <c r="D121" s="111">
        <f>IFERROR(VLOOKUP($B121,MMWR_TRAD_AGG_STATE_PEN[],D$1,0),"ERROR")</f>
        <v>100.743955095</v>
      </c>
      <c r="E121" s="112">
        <f>IFERROR(VLOOKUP($B121,MMWR_TRAD_AGG_STATE_PEN[],E$1,0),"ERROR")</f>
        <v>2284</v>
      </c>
      <c r="F121" s="113">
        <f>IFERROR(VLOOKUP($B121,MMWR_TRAD_AGG_STATE_PEN[],F$1,0),"ERROR")</f>
        <v>482</v>
      </c>
      <c r="G121" s="114">
        <f t="shared" si="12"/>
        <v>0.21103327495621715</v>
      </c>
      <c r="H121" s="112">
        <f>IFERROR(VLOOKUP($B121,MMWR_TRAD_AGG_STATE_PEN[],H$1,0),"ERROR")</f>
        <v>3668</v>
      </c>
      <c r="I121" s="113">
        <f>IFERROR(VLOOKUP($B121,MMWR_TRAD_AGG_STATE_PEN[],I$1,0),"ERROR")</f>
        <v>931</v>
      </c>
      <c r="J121" s="115">
        <f t="shared" si="13"/>
        <v>0.25381679389312978</v>
      </c>
      <c r="K121" s="112">
        <f>IFERROR(VLOOKUP($B121,MMWR_TRAD_AGG_STATE_PEN[],K$1,0),"ERROR")</f>
        <v>121</v>
      </c>
      <c r="L121" s="113">
        <f>IFERROR(VLOOKUP($B121,MMWR_TRAD_AGG_STATE_PEN[],L$1,0),"ERROR")</f>
        <v>121</v>
      </c>
      <c r="M121" s="115">
        <f t="shared" si="14"/>
        <v>1</v>
      </c>
      <c r="N121" s="112">
        <f>IFERROR(VLOOKUP($B121,MMWR_TRAD_AGG_STATE_PEN[],N$1,0),"ERROR")</f>
        <v>780</v>
      </c>
      <c r="O121" s="113">
        <f>IFERROR(VLOOKUP($B121,MMWR_TRAD_AGG_STATE_PEN[],O$1,0),"ERROR")</f>
        <v>130</v>
      </c>
      <c r="P121" s="115">
        <f t="shared" si="15"/>
        <v>0.16666666666666666</v>
      </c>
      <c r="Q121" s="116">
        <f>IFERROR(VLOOKUP($B121,MMWR_TRAD_AGG_STATE_PEN[],Q$1,0),"ERROR")</f>
        <v>353</v>
      </c>
      <c r="R121" s="116">
        <f>IFERROR(VLOOKUP($B121,MMWR_TRAD_AGG_STATE_PEN[],R$1,0),"ERROR")</f>
        <v>529</v>
      </c>
      <c r="S121" s="116">
        <f>IFERROR(VLOOKUP($B121,MMWR_APP_STATE_PEN[],S$1,0),"ERROR")</f>
        <v>480</v>
      </c>
      <c r="T121" s="28"/>
    </row>
    <row r="122" spans="1:20" s="124" customFormat="1" x14ac:dyDescent="0.2">
      <c r="A122" s="28"/>
      <c r="B122" s="128" t="s">
        <v>391</v>
      </c>
      <c r="C122" s="110">
        <f>IFERROR(VLOOKUP($B122,MMWR_TRAD_AGG_STATE_PEN[],C$1,0),"ERROR")</f>
        <v>1238</v>
      </c>
      <c r="D122" s="111">
        <f>IFERROR(VLOOKUP($B122,MMWR_TRAD_AGG_STATE_PEN[],D$1,0),"ERROR")</f>
        <v>112.09693053309999</v>
      </c>
      <c r="E122" s="112">
        <f>IFERROR(VLOOKUP($B122,MMWR_TRAD_AGG_STATE_PEN[],E$1,0),"ERROR")</f>
        <v>1068</v>
      </c>
      <c r="F122" s="113">
        <f>IFERROR(VLOOKUP($B122,MMWR_TRAD_AGG_STATE_PEN[],F$1,0),"ERROR")</f>
        <v>188</v>
      </c>
      <c r="G122" s="114">
        <f t="shared" si="12"/>
        <v>0.17602996254681649</v>
      </c>
      <c r="H122" s="112">
        <f>IFERROR(VLOOKUP($B122,MMWR_TRAD_AGG_STATE_PEN[],H$1,0),"ERROR")</f>
        <v>1945</v>
      </c>
      <c r="I122" s="113">
        <f>IFERROR(VLOOKUP($B122,MMWR_TRAD_AGG_STATE_PEN[],I$1,0),"ERROR")</f>
        <v>532</v>
      </c>
      <c r="J122" s="115">
        <f t="shared" si="13"/>
        <v>0.27352185089974296</v>
      </c>
      <c r="K122" s="112">
        <f>IFERROR(VLOOKUP($B122,MMWR_TRAD_AGG_STATE_PEN[],K$1,0),"ERROR")</f>
        <v>70</v>
      </c>
      <c r="L122" s="113">
        <f>IFERROR(VLOOKUP($B122,MMWR_TRAD_AGG_STATE_PEN[],L$1,0),"ERROR")</f>
        <v>70</v>
      </c>
      <c r="M122" s="115">
        <f t="shared" si="14"/>
        <v>1</v>
      </c>
      <c r="N122" s="112">
        <f>IFERROR(VLOOKUP($B122,MMWR_TRAD_AGG_STATE_PEN[],N$1,0),"ERROR")</f>
        <v>455</v>
      </c>
      <c r="O122" s="113">
        <f>IFERROR(VLOOKUP($B122,MMWR_TRAD_AGG_STATE_PEN[],O$1,0),"ERROR")</f>
        <v>84</v>
      </c>
      <c r="P122" s="115">
        <f t="shared" si="15"/>
        <v>0.18461538461538463</v>
      </c>
      <c r="Q122" s="116">
        <f>IFERROR(VLOOKUP($B122,MMWR_TRAD_AGG_STATE_PEN[],Q$1,0),"ERROR")</f>
        <v>218</v>
      </c>
      <c r="R122" s="116">
        <f>IFERROR(VLOOKUP($B122,MMWR_TRAD_AGG_STATE_PEN[],R$1,0),"ERROR")</f>
        <v>345</v>
      </c>
      <c r="S122" s="116">
        <f>IFERROR(VLOOKUP($B122,MMWR_APP_STATE_PEN[],S$1,0),"ERROR")</f>
        <v>340</v>
      </c>
      <c r="T122" s="28"/>
    </row>
    <row r="123" spans="1:20" s="124" customFormat="1" x14ac:dyDescent="0.2">
      <c r="A123" s="28"/>
      <c r="B123" s="128" t="s">
        <v>403</v>
      </c>
      <c r="C123" s="110">
        <f>IFERROR(VLOOKUP($B123,MMWR_TRAD_AGG_STATE_PEN[],C$1,0),"ERROR")</f>
        <v>269</v>
      </c>
      <c r="D123" s="111">
        <f>IFERROR(VLOOKUP($B123,MMWR_TRAD_AGG_STATE_PEN[],D$1,0),"ERROR")</f>
        <v>69.680297397800004</v>
      </c>
      <c r="E123" s="112">
        <f>IFERROR(VLOOKUP($B123,MMWR_TRAD_AGG_STATE_PEN[],E$1,0),"ERROR")</f>
        <v>268</v>
      </c>
      <c r="F123" s="113">
        <f>IFERROR(VLOOKUP($B123,MMWR_TRAD_AGG_STATE_PEN[],F$1,0),"ERROR")</f>
        <v>15</v>
      </c>
      <c r="G123" s="114">
        <f t="shared" si="12"/>
        <v>5.5970149253731345E-2</v>
      </c>
      <c r="H123" s="112">
        <f>IFERROR(VLOOKUP($B123,MMWR_TRAD_AGG_STATE_PEN[],H$1,0),"ERROR")</f>
        <v>437</v>
      </c>
      <c r="I123" s="113">
        <f>IFERROR(VLOOKUP($B123,MMWR_TRAD_AGG_STATE_PEN[],I$1,0),"ERROR")</f>
        <v>50</v>
      </c>
      <c r="J123" s="115">
        <f t="shared" si="13"/>
        <v>0.11441647597254005</v>
      </c>
      <c r="K123" s="112">
        <f>IFERROR(VLOOKUP($B123,MMWR_TRAD_AGG_STATE_PEN[],K$1,0),"ERROR")</f>
        <v>7</v>
      </c>
      <c r="L123" s="113">
        <f>IFERROR(VLOOKUP($B123,MMWR_TRAD_AGG_STATE_PEN[],L$1,0),"ERROR")</f>
        <v>7</v>
      </c>
      <c r="M123" s="115">
        <f t="shared" si="14"/>
        <v>1</v>
      </c>
      <c r="N123" s="112">
        <f>IFERROR(VLOOKUP($B123,MMWR_TRAD_AGG_STATE_PEN[],N$1,0),"ERROR")</f>
        <v>41</v>
      </c>
      <c r="O123" s="113">
        <f>IFERROR(VLOOKUP($B123,MMWR_TRAD_AGG_STATE_PEN[],O$1,0),"ERROR")</f>
        <v>6</v>
      </c>
      <c r="P123" s="115">
        <f t="shared" si="15"/>
        <v>0.14634146341463414</v>
      </c>
      <c r="Q123" s="116">
        <f>IFERROR(VLOOKUP($B123,MMWR_TRAD_AGG_STATE_PEN[],Q$1,0),"ERROR")</f>
        <v>316</v>
      </c>
      <c r="R123" s="116">
        <f>IFERROR(VLOOKUP($B123,MMWR_TRAD_AGG_STATE_PEN[],R$1,0),"ERROR")</f>
        <v>39</v>
      </c>
      <c r="S123" s="116">
        <f>IFERROR(VLOOKUP($B123,MMWR_APP_STATE_PEN[],S$1,0),"ERROR")</f>
        <v>113</v>
      </c>
      <c r="T123" s="28"/>
    </row>
    <row r="124" spans="1:20" s="124" customFormat="1" x14ac:dyDescent="0.2">
      <c r="A124" s="28"/>
      <c r="B124" s="128" t="s">
        <v>437</v>
      </c>
      <c r="C124" s="110">
        <f>IFERROR(VLOOKUP($B124,MMWR_TRAD_AGG_STATE_PEN[],C$1,0),"ERROR")</f>
        <v>1418</v>
      </c>
      <c r="D124" s="111">
        <f>IFERROR(VLOOKUP($B124,MMWR_TRAD_AGG_STATE_PEN[],D$1,0),"ERROR")</f>
        <v>91.942877292000006</v>
      </c>
      <c r="E124" s="112">
        <f>IFERROR(VLOOKUP($B124,MMWR_TRAD_AGG_STATE_PEN[],E$1,0),"ERROR")</f>
        <v>452</v>
      </c>
      <c r="F124" s="113">
        <f>IFERROR(VLOOKUP($B124,MMWR_TRAD_AGG_STATE_PEN[],F$1,0),"ERROR")</f>
        <v>77</v>
      </c>
      <c r="G124" s="114">
        <f t="shared" si="12"/>
        <v>0.17035398230088494</v>
      </c>
      <c r="H124" s="112">
        <f>IFERROR(VLOOKUP($B124,MMWR_TRAD_AGG_STATE_PEN[],H$1,0),"ERROR")</f>
        <v>2184</v>
      </c>
      <c r="I124" s="113">
        <f>IFERROR(VLOOKUP($B124,MMWR_TRAD_AGG_STATE_PEN[],I$1,0),"ERROR")</f>
        <v>484</v>
      </c>
      <c r="J124" s="115">
        <f t="shared" si="13"/>
        <v>0.2216117216117216</v>
      </c>
      <c r="K124" s="112">
        <f>IFERROR(VLOOKUP($B124,MMWR_TRAD_AGG_STATE_PEN[],K$1,0),"ERROR")</f>
        <v>13</v>
      </c>
      <c r="L124" s="113">
        <f>IFERROR(VLOOKUP($B124,MMWR_TRAD_AGG_STATE_PEN[],L$1,0),"ERROR")</f>
        <v>10</v>
      </c>
      <c r="M124" s="115">
        <f t="shared" si="14"/>
        <v>0.76923076923076927</v>
      </c>
      <c r="N124" s="112">
        <f>IFERROR(VLOOKUP($B124,MMWR_TRAD_AGG_STATE_PEN[],N$1,0),"ERROR")</f>
        <v>175</v>
      </c>
      <c r="O124" s="113">
        <f>IFERROR(VLOOKUP($B124,MMWR_TRAD_AGG_STATE_PEN[],O$1,0),"ERROR")</f>
        <v>26</v>
      </c>
      <c r="P124" s="115">
        <f t="shared" si="15"/>
        <v>0.14857142857142858</v>
      </c>
      <c r="Q124" s="116">
        <f>IFERROR(VLOOKUP($B124,MMWR_TRAD_AGG_STATE_PEN[],Q$1,0),"ERROR")</f>
        <v>107</v>
      </c>
      <c r="R124" s="116">
        <f>IFERROR(VLOOKUP($B124,MMWR_TRAD_AGG_STATE_PEN[],R$1,0),"ERROR")</f>
        <v>96</v>
      </c>
      <c r="S124" s="116">
        <f>IFERROR(VLOOKUP($B124,MMWR_APP_STATE_PEN[],S$1,0),"ERROR")</f>
        <v>100</v>
      </c>
      <c r="T124" s="28"/>
    </row>
    <row r="125" spans="1:20" s="124" customFormat="1" x14ac:dyDescent="0.2">
      <c r="A125" s="28"/>
      <c r="B125" s="128" t="s">
        <v>393</v>
      </c>
      <c r="C125" s="110">
        <f>IFERROR(VLOOKUP($B125,MMWR_TRAD_AGG_STATE_PEN[],C$1,0),"ERROR")</f>
        <v>763</v>
      </c>
      <c r="D125" s="111">
        <f>IFERROR(VLOOKUP($B125,MMWR_TRAD_AGG_STATE_PEN[],D$1,0),"ERROR")</f>
        <v>95.120576670999995</v>
      </c>
      <c r="E125" s="112">
        <f>IFERROR(VLOOKUP($B125,MMWR_TRAD_AGG_STATE_PEN[],E$1,0),"ERROR")</f>
        <v>631</v>
      </c>
      <c r="F125" s="113">
        <f>IFERROR(VLOOKUP($B125,MMWR_TRAD_AGG_STATE_PEN[],F$1,0),"ERROR")</f>
        <v>104</v>
      </c>
      <c r="G125" s="114">
        <f t="shared" si="12"/>
        <v>0.16481774960380349</v>
      </c>
      <c r="H125" s="112">
        <f>IFERROR(VLOOKUP($B125,MMWR_TRAD_AGG_STATE_PEN[],H$1,0),"ERROR")</f>
        <v>1265</v>
      </c>
      <c r="I125" s="113">
        <f>IFERROR(VLOOKUP($B125,MMWR_TRAD_AGG_STATE_PEN[],I$1,0),"ERROR")</f>
        <v>318</v>
      </c>
      <c r="J125" s="115">
        <f t="shared" si="13"/>
        <v>0.25138339920948616</v>
      </c>
      <c r="K125" s="112">
        <f>IFERROR(VLOOKUP($B125,MMWR_TRAD_AGG_STATE_PEN[],K$1,0),"ERROR")</f>
        <v>28</v>
      </c>
      <c r="L125" s="113">
        <f>IFERROR(VLOOKUP($B125,MMWR_TRAD_AGG_STATE_PEN[],L$1,0),"ERROR")</f>
        <v>28</v>
      </c>
      <c r="M125" s="115">
        <f t="shared" si="14"/>
        <v>1</v>
      </c>
      <c r="N125" s="112">
        <f>IFERROR(VLOOKUP($B125,MMWR_TRAD_AGG_STATE_PEN[],N$1,0),"ERROR")</f>
        <v>263</v>
      </c>
      <c r="O125" s="113">
        <f>IFERROR(VLOOKUP($B125,MMWR_TRAD_AGG_STATE_PEN[],O$1,0),"ERROR")</f>
        <v>47</v>
      </c>
      <c r="P125" s="115">
        <f t="shared" si="15"/>
        <v>0.17870722433460076</v>
      </c>
      <c r="Q125" s="116">
        <f>IFERROR(VLOOKUP($B125,MMWR_TRAD_AGG_STATE_PEN[],Q$1,0),"ERROR")</f>
        <v>133</v>
      </c>
      <c r="R125" s="116">
        <f>IFERROR(VLOOKUP($B125,MMWR_TRAD_AGG_STATE_PEN[],R$1,0),"ERROR")</f>
        <v>209</v>
      </c>
      <c r="S125" s="116">
        <f>IFERROR(VLOOKUP($B125,MMWR_APP_STATE_PEN[],S$1,0),"ERROR")</f>
        <v>154</v>
      </c>
      <c r="T125" s="28"/>
    </row>
    <row r="126" spans="1:20" s="124" customFormat="1" x14ac:dyDescent="0.2">
      <c r="A126" s="28"/>
      <c r="B126" s="128" t="s">
        <v>394</v>
      </c>
      <c r="C126" s="110">
        <f>IFERROR(VLOOKUP($B126,MMWR_TRAD_AGG_STATE_PEN[],C$1,0),"ERROR")</f>
        <v>516</v>
      </c>
      <c r="D126" s="111">
        <f>IFERROR(VLOOKUP($B126,MMWR_TRAD_AGG_STATE_PEN[],D$1,0),"ERROR")</f>
        <v>60.968992248100001</v>
      </c>
      <c r="E126" s="112">
        <f>IFERROR(VLOOKUP($B126,MMWR_TRAD_AGG_STATE_PEN[],E$1,0),"ERROR")</f>
        <v>490</v>
      </c>
      <c r="F126" s="113">
        <f>IFERROR(VLOOKUP($B126,MMWR_TRAD_AGG_STATE_PEN[],F$1,0),"ERROR")</f>
        <v>23</v>
      </c>
      <c r="G126" s="114">
        <f t="shared" si="12"/>
        <v>4.6938775510204082E-2</v>
      </c>
      <c r="H126" s="112">
        <f>IFERROR(VLOOKUP($B126,MMWR_TRAD_AGG_STATE_PEN[],H$1,0),"ERROR")</f>
        <v>802</v>
      </c>
      <c r="I126" s="113">
        <f>IFERROR(VLOOKUP($B126,MMWR_TRAD_AGG_STATE_PEN[],I$1,0),"ERROR")</f>
        <v>79</v>
      </c>
      <c r="J126" s="115">
        <f t="shared" si="13"/>
        <v>9.8503740648379051E-2</v>
      </c>
      <c r="K126" s="112">
        <f>IFERROR(VLOOKUP($B126,MMWR_TRAD_AGG_STATE_PEN[],K$1,0),"ERROR")</f>
        <v>5</v>
      </c>
      <c r="L126" s="113">
        <f>IFERROR(VLOOKUP($B126,MMWR_TRAD_AGG_STATE_PEN[],L$1,0),"ERROR")</f>
        <v>5</v>
      </c>
      <c r="M126" s="115">
        <f t="shared" si="14"/>
        <v>1</v>
      </c>
      <c r="N126" s="112">
        <f>IFERROR(VLOOKUP($B126,MMWR_TRAD_AGG_STATE_PEN[],N$1,0),"ERROR")</f>
        <v>49</v>
      </c>
      <c r="O126" s="113">
        <f>IFERROR(VLOOKUP($B126,MMWR_TRAD_AGG_STATE_PEN[],O$1,0),"ERROR")</f>
        <v>12</v>
      </c>
      <c r="P126" s="115">
        <f t="shared" si="15"/>
        <v>0.24489795918367346</v>
      </c>
      <c r="Q126" s="116">
        <f>IFERROR(VLOOKUP($B126,MMWR_TRAD_AGG_STATE_PEN[],Q$1,0),"ERROR")</f>
        <v>360</v>
      </c>
      <c r="R126" s="116">
        <f>IFERROR(VLOOKUP($B126,MMWR_TRAD_AGG_STATE_PEN[],R$1,0),"ERROR")</f>
        <v>50</v>
      </c>
      <c r="S126" s="116">
        <f>IFERROR(VLOOKUP($B126,MMWR_APP_STATE_PEN[],S$1,0),"ERROR")</f>
        <v>221</v>
      </c>
      <c r="T126" s="28"/>
    </row>
    <row r="127" spans="1:20" s="124" customFormat="1" x14ac:dyDescent="0.2">
      <c r="A127" s="28"/>
      <c r="B127" s="129" t="s">
        <v>8</v>
      </c>
      <c r="C127" s="103">
        <f>IFERROR(VLOOKUP($B127,MMWR_TRAD_AGG_ST_DISTRICT_PEN[],C$1,0),"ERROR")</f>
        <v>219</v>
      </c>
      <c r="D127" s="104">
        <f>IFERROR(VLOOKUP($B127,MMWR_TRAD_AGG_ST_DISTRICT_PEN[],D$1,0),"ERROR")</f>
        <v>97.497716894999996</v>
      </c>
      <c r="E127" s="103">
        <f>IFERROR(VLOOKUP($B127,MMWR_TRAD_AGG_ST_DISTRICT_PEN[],E$1,0),"ERROR")</f>
        <v>183</v>
      </c>
      <c r="F127" s="103">
        <f>IFERROR(VLOOKUP($B127,MMWR_TRAD_AGG_ST_DISTRICT_PEN[],F$1,0),"ERROR")</f>
        <v>60</v>
      </c>
      <c r="G127" s="105">
        <f t="shared" si="12"/>
        <v>0.32786885245901637</v>
      </c>
      <c r="H127" s="103">
        <f>IFERROR(VLOOKUP($B127,MMWR_TRAD_AGG_ST_DISTRICT_PEN[],H$1,0),"ERROR")</f>
        <v>500</v>
      </c>
      <c r="I127" s="103">
        <f>IFERROR(VLOOKUP($B127,MMWR_TRAD_AGG_ST_DISTRICT_PEN[],I$1,0),"ERROR")</f>
        <v>148</v>
      </c>
      <c r="J127" s="105">
        <f t="shared" si="13"/>
        <v>0.29599999999999999</v>
      </c>
      <c r="K127" s="103">
        <f>IFERROR(VLOOKUP($B127,MMWR_TRAD_AGG_ST_DISTRICT_PEN[],K$1,0),"ERROR")</f>
        <v>29</v>
      </c>
      <c r="L127" s="103">
        <f>IFERROR(VLOOKUP($B127,MMWR_TRAD_AGG_ST_DISTRICT_PEN[],L$1,0),"ERROR")</f>
        <v>27</v>
      </c>
      <c r="M127" s="105">
        <f t="shared" si="14"/>
        <v>0.93103448275862066</v>
      </c>
      <c r="N127" s="103">
        <f>IFERROR(VLOOKUP($B127,MMWR_TRAD_AGG_ST_DISTRICT_PEN[],N$1,0),"ERROR")</f>
        <v>127</v>
      </c>
      <c r="O127" s="103">
        <f>IFERROR(VLOOKUP($B127,MMWR_TRAD_AGG_ST_DISTRICT_PEN[],O$1,0),"ERROR")</f>
        <v>17</v>
      </c>
      <c r="P127" s="105">
        <f t="shared" si="15"/>
        <v>0.13385826771653545</v>
      </c>
      <c r="Q127" s="103">
        <f>IFERROR(VLOOKUP($B127,MMWR_TRAD_AGG_ST_DISTRICT_PEN[],Q$1,0),"ERROR")</f>
        <v>65</v>
      </c>
      <c r="R127" s="107">
        <f>IFERROR(VLOOKUP($B127,MMWR_TRAD_AGG_ST_DISTRICT_PEN[],R$1,0),"ERROR")</f>
        <v>19</v>
      </c>
      <c r="S127" s="107">
        <f>IFERROR(VLOOKUP($B127,MMWR_APP_STATE_PEN[],S$1,0),"ERROR")</f>
        <v>3</v>
      </c>
      <c r="T127" s="28"/>
    </row>
    <row r="128" spans="1:20" x14ac:dyDescent="0.2">
      <c r="B128" s="26"/>
      <c r="C128" s="26"/>
      <c r="D128" s="26"/>
      <c r="E128" s="76"/>
      <c r="F128" s="76"/>
      <c r="G128" s="76"/>
      <c r="H128" s="76"/>
      <c r="I128" s="76"/>
      <c r="J128" s="76"/>
      <c r="K128" s="76"/>
      <c r="L128" s="76"/>
      <c r="M128" s="76"/>
      <c r="N128" s="76"/>
      <c r="O128" s="76"/>
      <c r="P128" s="76"/>
      <c r="Q128" s="76"/>
      <c r="R128" s="76"/>
      <c r="S128" s="76"/>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670</v>
      </c>
      <c r="C2" t="s">
        <v>466</v>
      </c>
      <c r="D2" t="s">
        <v>468</v>
      </c>
      <c r="F2" t="s">
        <v>669</v>
      </c>
      <c r="G2" t="s">
        <v>315</v>
      </c>
      <c r="H2" t="s">
        <v>139</v>
      </c>
      <c r="I2" t="s">
        <v>222</v>
      </c>
      <c r="J2" t="s">
        <v>223</v>
      </c>
      <c r="K2" t="s">
        <v>224</v>
      </c>
      <c r="L2" t="s">
        <v>225</v>
      </c>
      <c r="M2" t="s">
        <v>226</v>
      </c>
      <c r="N2" t="s">
        <v>227</v>
      </c>
      <c r="O2" t="s">
        <v>228</v>
      </c>
      <c r="P2" t="s">
        <v>229</v>
      </c>
      <c r="Q2" t="s">
        <v>230</v>
      </c>
      <c r="R2" t="s">
        <v>231</v>
      </c>
      <c r="T2" t="s">
        <v>668</v>
      </c>
      <c r="U2" t="s">
        <v>315</v>
      </c>
      <c r="V2" t="s">
        <v>139</v>
      </c>
      <c r="W2" t="s">
        <v>222</v>
      </c>
      <c r="X2" t="s">
        <v>469</v>
      </c>
      <c r="Y2" t="s">
        <v>224</v>
      </c>
      <c r="Z2" t="s">
        <v>225</v>
      </c>
      <c r="AA2" t="s">
        <v>226</v>
      </c>
      <c r="AB2" t="s">
        <v>470</v>
      </c>
      <c r="AC2" t="s">
        <v>228</v>
      </c>
      <c r="AD2" t="s">
        <v>229</v>
      </c>
      <c r="AE2" t="s">
        <v>230</v>
      </c>
      <c r="AF2" t="s">
        <v>231</v>
      </c>
      <c r="AH2" t="s">
        <v>667</v>
      </c>
      <c r="AI2" t="s">
        <v>315</v>
      </c>
      <c r="AJ2" t="s">
        <v>139</v>
      </c>
      <c r="AK2" t="s">
        <v>222</v>
      </c>
      <c r="AL2" t="s">
        <v>223</v>
      </c>
      <c r="AM2" t="s">
        <v>224</v>
      </c>
      <c r="AN2" t="s">
        <v>225</v>
      </c>
      <c r="AO2" t="s">
        <v>226</v>
      </c>
      <c r="AP2" t="s">
        <v>227</v>
      </c>
      <c r="AQ2" t="s">
        <v>228</v>
      </c>
      <c r="AR2" t="s">
        <v>229</v>
      </c>
      <c r="AS2" t="s">
        <v>230</v>
      </c>
      <c r="AT2" t="s">
        <v>231</v>
      </c>
      <c r="AV2" t="s">
        <v>666</v>
      </c>
      <c r="AW2" t="s">
        <v>315</v>
      </c>
      <c r="AX2" t="s">
        <v>139</v>
      </c>
      <c r="AY2" t="s">
        <v>222</v>
      </c>
      <c r="AZ2" t="s">
        <v>469</v>
      </c>
      <c r="BA2" t="s">
        <v>224</v>
      </c>
      <c r="BB2" t="s">
        <v>225</v>
      </c>
      <c r="BC2" t="s">
        <v>226</v>
      </c>
      <c r="BD2" t="s">
        <v>470</v>
      </c>
      <c r="BE2" t="s">
        <v>228</v>
      </c>
      <c r="BF2" t="s">
        <v>229</v>
      </c>
      <c r="BG2" t="s">
        <v>230</v>
      </c>
      <c r="BH2" t="s">
        <v>231</v>
      </c>
      <c r="BJ2" t="s">
        <v>728</v>
      </c>
      <c r="BK2" t="s">
        <v>747</v>
      </c>
      <c r="BL2" t="s">
        <v>716</v>
      </c>
      <c r="BM2" t="s">
        <v>717</v>
      </c>
      <c r="BN2" t="s">
        <v>718</v>
      </c>
      <c r="BO2" t="s">
        <v>719</v>
      </c>
      <c r="BP2" t="s">
        <v>720</v>
      </c>
      <c r="BQ2" t="s">
        <v>729</v>
      </c>
      <c r="BR2" t="s">
        <v>730</v>
      </c>
      <c r="BS2" t="s">
        <v>721</v>
      </c>
      <c r="BT2" t="s">
        <v>722</v>
      </c>
      <c r="BU2" t="s">
        <v>723</v>
      </c>
      <c r="BV2" t="s">
        <v>724</v>
      </c>
      <c r="BW2" t="s">
        <v>725</v>
      </c>
      <c r="BX2" t="s">
        <v>726</v>
      </c>
      <c r="BY2" t="s">
        <v>727</v>
      </c>
      <c r="CA2" t="s">
        <v>1054</v>
      </c>
      <c r="CB2" t="s">
        <v>752</v>
      </c>
      <c r="CC2" t="s">
        <v>753</v>
      </c>
      <c r="CD2" t="s">
        <v>731</v>
      </c>
      <c r="CE2" t="s">
        <v>732</v>
      </c>
      <c r="CF2" t="s">
        <v>733</v>
      </c>
      <c r="CG2" t="s">
        <v>734</v>
      </c>
      <c r="CH2" t="s">
        <v>735</v>
      </c>
      <c r="CI2" t="s">
        <v>736</v>
      </c>
      <c r="CJ2" t="s">
        <v>737</v>
      </c>
      <c r="CL2" t="s">
        <v>1055</v>
      </c>
      <c r="CM2" t="s">
        <v>752</v>
      </c>
      <c r="CN2" t="s">
        <v>753</v>
      </c>
      <c r="CO2" t="s">
        <v>731</v>
      </c>
      <c r="CP2" t="s">
        <v>732</v>
      </c>
      <c r="CQ2" t="s">
        <v>733</v>
      </c>
      <c r="CR2" t="s">
        <v>734</v>
      </c>
      <c r="CS2" t="s">
        <v>735</v>
      </c>
      <c r="CT2" t="s">
        <v>736</v>
      </c>
      <c r="CU2" t="s">
        <v>737</v>
      </c>
      <c r="CW2" t="s">
        <v>1056</v>
      </c>
      <c r="CX2" t="s">
        <v>752</v>
      </c>
      <c r="CY2" t="s">
        <v>753</v>
      </c>
      <c r="CZ2" t="s">
        <v>731</v>
      </c>
      <c r="DA2" t="s">
        <v>732</v>
      </c>
      <c r="DB2" t="s">
        <v>733</v>
      </c>
      <c r="DC2" t="s">
        <v>734</v>
      </c>
      <c r="DD2" t="s">
        <v>735</v>
      </c>
      <c r="DE2" t="s">
        <v>736</v>
      </c>
      <c r="DF2" t="s">
        <v>737</v>
      </c>
      <c r="DH2" t="s">
        <v>1057</v>
      </c>
      <c r="DI2" t="s">
        <v>752</v>
      </c>
      <c r="DJ2" t="s">
        <v>753</v>
      </c>
      <c r="DK2" t="s">
        <v>731</v>
      </c>
      <c r="DL2" t="s">
        <v>732</v>
      </c>
      <c r="DM2" t="s">
        <v>733</v>
      </c>
      <c r="DN2" t="s">
        <v>734</v>
      </c>
      <c r="DO2" t="s">
        <v>735</v>
      </c>
      <c r="DP2" t="s">
        <v>736</v>
      </c>
      <c r="DQ2" t="s">
        <v>737</v>
      </c>
    </row>
    <row r="3" spans="2:121" x14ac:dyDescent="0.2">
      <c r="C3">
        <v>320861</v>
      </c>
      <c r="D3">
        <v>243470</v>
      </c>
      <c r="F3" t="s">
        <v>34</v>
      </c>
      <c r="G3">
        <v>1344</v>
      </c>
      <c r="H3">
        <v>163.62797619049999</v>
      </c>
      <c r="I3">
        <v>3190</v>
      </c>
      <c r="J3">
        <v>1179</v>
      </c>
      <c r="K3">
        <v>2036</v>
      </c>
      <c r="L3">
        <v>835</v>
      </c>
      <c r="M3">
        <v>182</v>
      </c>
      <c r="N3">
        <v>114</v>
      </c>
      <c r="O3">
        <v>413</v>
      </c>
      <c r="P3">
        <v>250</v>
      </c>
      <c r="Q3">
        <v>0</v>
      </c>
      <c r="R3">
        <v>17</v>
      </c>
      <c r="T3" t="s">
        <v>217</v>
      </c>
      <c r="U3">
        <v>4608</v>
      </c>
      <c r="V3">
        <v>60.453993055600002</v>
      </c>
      <c r="W3">
        <v>5520</v>
      </c>
      <c r="X3">
        <v>429</v>
      </c>
      <c r="Y3">
        <v>7888</v>
      </c>
      <c r="Z3">
        <v>551</v>
      </c>
      <c r="AA3">
        <v>31</v>
      </c>
      <c r="AB3">
        <v>30</v>
      </c>
      <c r="AC3">
        <v>471</v>
      </c>
      <c r="AD3">
        <v>87</v>
      </c>
      <c r="AE3">
        <v>3838</v>
      </c>
      <c r="AF3">
        <v>452</v>
      </c>
      <c r="AH3" t="s">
        <v>398</v>
      </c>
      <c r="AI3">
        <v>14451</v>
      </c>
      <c r="AJ3">
        <v>369.04587917790002</v>
      </c>
      <c r="AK3">
        <v>8829</v>
      </c>
      <c r="AL3">
        <v>3400</v>
      </c>
      <c r="AM3">
        <v>16755</v>
      </c>
      <c r="AN3">
        <v>12092</v>
      </c>
      <c r="AO3">
        <v>4429</v>
      </c>
      <c r="AP3">
        <v>4038</v>
      </c>
      <c r="AQ3">
        <v>3213</v>
      </c>
      <c r="AR3">
        <v>2193</v>
      </c>
      <c r="AS3">
        <v>22</v>
      </c>
      <c r="AT3">
        <v>337</v>
      </c>
      <c r="AV3" t="s">
        <v>423</v>
      </c>
      <c r="AW3">
        <v>88</v>
      </c>
      <c r="AX3">
        <v>44.897727272700003</v>
      </c>
      <c r="AY3">
        <v>182</v>
      </c>
      <c r="AZ3">
        <v>8</v>
      </c>
      <c r="BA3">
        <v>152</v>
      </c>
      <c r="BB3">
        <v>7</v>
      </c>
      <c r="BC3">
        <v>1</v>
      </c>
      <c r="BD3">
        <v>1</v>
      </c>
      <c r="BE3">
        <v>9</v>
      </c>
      <c r="BF3">
        <v>4</v>
      </c>
      <c r="BG3">
        <v>99</v>
      </c>
      <c r="BH3">
        <v>32</v>
      </c>
      <c r="BJ3" t="s">
        <v>745</v>
      </c>
      <c r="BK3" t="s">
        <v>748</v>
      </c>
      <c r="BL3">
        <v>361466</v>
      </c>
      <c r="BM3">
        <v>127559</v>
      </c>
      <c r="BN3" s="156">
        <v>124.6508274637</v>
      </c>
      <c r="BO3">
        <v>851092</v>
      </c>
      <c r="BP3">
        <v>70161</v>
      </c>
      <c r="BQ3">
        <v>193.26077204340001</v>
      </c>
      <c r="BR3">
        <v>174.4342013369</v>
      </c>
      <c r="BS3">
        <v>361466</v>
      </c>
      <c r="BT3">
        <v>127559</v>
      </c>
      <c r="BU3">
        <v>124.6508274637</v>
      </c>
      <c r="BV3">
        <v>851091</v>
      </c>
      <c r="BW3">
        <v>70161</v>
      </c>
      <c r="BX3">
        <v>193.2604927088</v>
      </c>
      <c r="BY3">
        <v>174.4342013369</v>
      </c>
      <c r="CA3" t="s">
        <v>1060</v>
      </c>
      <c r="CB3" t="s">
        <v>748</v>
      </c>
      <c r="CC3" t="s">
        <v>934</v>
      </c>
      <c r="CD3">
        <v>8196</v>
      </c>
      <c r="CE3">
        <v>1546</v>
      </c>
      <c r="CF3">
        <v>80.289165446599995</v>
      </c>
      <c r="CG3">
        <v>18851</v>
      </c>
      <c r="CH3">
        <v>1519</v>
      </c>
      <c r="CI3">
        <v>154.40666277650001</v>
      </c>
      <c r="CJ3">
        <v>144.8926925609</v>
      </c>
      <c r="CL3" t="s">
        <v>1060</v>
      </c>
      <c r="CM3" t="s">
        <v>748</v>
      </c>
      <c r="CN3" t="s">
        <v>934</v>
      </c>
      <c r="CO3">
        <v>8196</v>
      </c>
      <c r="CP3">
        <v>1546</v>
      </c>
      <c r="CQ3">
        <v>80.289165446599995</v>
      </c>
      <c r="CR3">
        <v>18851</v>
      </c>
      <c r="CS3">
        <v>1519</v>
      </c>
      <c r="CT3">
        <v>154.40666277650001</v>
      </c>
      <c r="CU3">
        <v>144.8926925609</v>
      </c>
      <c r="CW3" t="s">
        <v>1060</v>
      </c>
      <c r="CX3" t="s">
        <v>748</v>
      </c>
      <c r="CY3" t="s">
        <v>934</v>
      </c>
      <c r="CZ3">
        <v>8196</v>
      </c>
      <c r="DA3">
        <v>1546</v>
      </c>
      <c r="DB3">
        <v>80.289165446599995</v>
      </c>
      <c r="DC3">
        <v>18851</v>
      </c>
      <c r="DD3">
        <v>1519</v>
      </c>
      <c r="DE3">
        <v>154.40666277650001</v>
      </c>
      <c r="DF3">
        <v>144.8926925609</v>
      </c>
      <c r="DH3" t="s">
        <v>1060</v>
      </c>
      <c r="DI3" t="s">
        <v>748</v>
      </c>
      <c r="DJ3" t="s">
        <v>934</v>
      </c>
      <c r="DK3">
        <v>8196</v>
      </c>
      <c r="DL3">
        <v>1546</v>
      </c>
      <c r="DM3">
        <v>80.289165446599995</v>
      </c>
      <c r="DN3">
        <v>18851</v>
      </c>
      <c r="DO3">
        <v>1519</v>
      </c>
      <c r="DP3">
        <v>154.40666277650001</v>
      </c>
      <c r="DQ3">
        <v>144.8926925609</v>
      </c>
    </row>
    <row r="4" spans="2:121" x14ac:dyDescent="0.2">
      <c r="B4" t="s">
        <v>113</v>
      </c>
      <c r="C4">
        <v>100923</v>
      </c>
      <c r="D4">
        <v>72454</v>
      </c>
      <c r="F4" t="s">
        <v>80</v>
      </c>
      <c r="G4">
        <v>14729</v>
      </c>
      <c r="H4">
        <v>305.10747504919999</v>
      </c>
      <c r="I4">
        <v>25243</v>
      </c>
      <c r="J4">
        <v>10153</v>
      </c>
      <c r="K4">
        <v>18748</v>
      </c>
      <c r="L4">
        <v>11343</v>
      </c>
      <c r="M4">
        <v>2298</v>
      </c>
      <c r="N4">
        <v>1562</v>
      </c>
      <c r="O4">
        <v>9758</v>
      </c>
      <c r="P4">
        <v>6526</v>
      </c>
      <c r="Q4">
        <v>11</v>
      </c>
      <c r="R4">
        <v>222</v>
      </c>
      <c r="T4" t="s">
        <v>232</v>
      </c>
      <c r="U4">
        <v>0</v>
      </c>
      <c r="W4">
        <v>261</v>
      </c>
      <c r="X4">
        <v>92</v>
      </c>
      <c r="Y4">
        <v>1036</v>
      </c>
      <c r="Z4">
        <v>850</v>
      </c>
      <c r="AA4">
        <v>287</v>
      </c>
      <c r="AB4">
        <v>276</v>
      </c>
      <c r="AC4">
        <v>301</v>
      </c>
      <c r="AD4">
        <v>261</v>
      </c>
      <c r="AE4">
        <v>110</v>
      </c>
      <c r="AF4">
        <v>0</v>
      </c>
      <c r="AH4" t="s">
        <v>434</v>
      </c>
      <c r="AI4">
        <v>2454</v>
      </c>
      <c r="AJ4">
        <v>493.19111654440002</v>
      </c>
      <c r="AK4">
        <v>1039</v>
      </c>
      <c r="AL4">
        <v>190</v>
      </c>
      <c r="AM4">
        <v>3060</v>
      </c>
      <c r="AN4">
        <v>2238</v>
      </c>
      <c r="AO4">
        <v>1563</v>
      </c>
      <c r="AP4">
        <v>1410</v>
      </c>
      <c r="AQ4">
        <v>280</v>
      </c>
      <c r="AR4">
        <v>184</v>
      </c>
      <c r="AS4">
        <v>0</v>
      </c>
      <c r="AT4">
        <v>3</v>
      </c>
      <c r="AV4" t="s">
        <v>437</v>
      </c>
      <c r="AW4">
        <v>1418</v>
      </c>
      <c r="AX4">
        <v>91.942877292000006</v>
      </c>
      <c r="AY4">
        <v>452</v>
      </c>
      <c r="AZ4">
        <v>77</v>
      </c>
      <c r="BA4">
        <v>2184</v>
      </c>
      <c r="BB4">
        <v>484</v>
      </c>
      <c r="BC4">
        <v>13</v>
      </c>
      <c r="BD4">
        <v>10</v>
      </c>
      <c r="BE4">
        <v>175</v>
      </c>
      <c r="BF4">
        <v>26</v>
      </c>
      <c r="BG4">
        <v>107</v>
      </c>
      <c r="BH4">
        <v>96</v>
      </c>
      <c r="BJ4" t="s">
        <v>654</v>
      </c>
      <c r="BK4" t="s">
        <v>395</v>
      </c>
      <c r="BL4">
        <v>951</v>
      </c>
      <c r="BM4">
        <v>191</v>
      </c>
      <c r="BN4" s="156">
        <v>87.341745531000001</v>
      </c>
      <c r="BO4">
        <v>2179</v>
      </c>
      <c r="BP4">
        <v>129</v>
      </c>
      <c r="BQ4">
        <v>134.01239100500001</v>
      </c>
      <c r="BR4">
        <v>120.61240310079999</v>
      </c>
      <c r="BS4">
        <v>1147</v>
      </c>
      <c r="BT4">
        <v>284</v>
      </c>
      <c r="BU4">
        <v>97.845684394100005</v>
      </c>
      <c r="BV4">
        <v>2522</v>
      </c>
      <c r="BW4">
        <v>181</v>
      </c>
      <c r="BX4">
        <v>153.5384615385</v>
      </c>
      <c r="BY4">
        <v>139.81215469610001</v>
      </c>
      <c r="CA4" t="s">
        <v>1059</v>
      </c>
      <c r="CB4" t="s">
        <v>748</v>
      </c>
      <c r="CC4" t="s">
        <v>934</v>
      </c>
      <c r="CD4">
        <v>361466</v>
      </c>
      <c r="CE4">
        <v>127559</v>
      </c>
      <c r="CF4">
        <v>124.6508274637</v>
      </c>
      <c r="CG4">
        <v>851091</v>
      </c>
      <c r="CH4">
        <v>70161</v>
      </c>
      <c r="CI4">
        <v>193.2604927088</v>
      </c>
      <c r="CJ4">
        <v>174.4342013369</v>
      </c>
      <c r="CL4" t="s">
        <v>1059</v>
      </c>
      <c r="CM4" t="s">
        <v>748</v>
      </c>
      <c r="CN4" t="s">
        <v>934</v>
      </c>
      <c r="CO4">
        <v>361466</v>
      </c>
      <c r="CP4">
        <v>127559</v>
      </c>
      <c r="CQ4">
        <v>124.6508274637</v>
      </c>
      <c r="CR4">
        <v>851091</v>
      </c>
      <c r="CS4">
        <v>70161</v>
      </c>
      <c r="CT4">
        <v>193.2604927088</v>
      </c>
      <c r="CU4">
        <v>174.4342013369</v>
      </c>
      <c r="CW4" t="s">
        <v>1059</v>
      </c>
      <c r="CX4" t="s">
        <v>748</v>
      </c>
      <c r="CY4" t="s">
        <v>934</v>
      </c>
      <c r="CZ4">
        <v>361466</v>
      </c>
      <c r="DA4">
        <v>127559</v>
      </c>
      <c r="DB4">
        <v>124.6508274637</v>
      </c>
      <c r="DC4">
        <v>851091</v>
      </c>
      <c r="DD4">
        <v>70161</v>
      </c>
      <c r="DE4">
        <v>193.2604927088</v>
      </c>
      <c r="DF4">
        <v>174.4342013369</v>
      </c>
      <c r="DH4" t="s">
        <v>1059</v>
      </c>
      <c r="DI4" t="s">
        <v>748</v>
      </c>
      <c r="DJ4" t="s">
        <v>934</v>
      </c>
      <c r="DK4">
        <v>361466</v>
      </c>
      <c r="DL4">
        <v>127559</v>
      </c>
      <c r="DM4">
        <v>124.6508274637</v>
      </c>
      <c r="DN4">
        <v>851091</v>
      </c>
      <c r="DO4">
        <v>70161</v>
      </c>
      <c r="DP4">
        <v>193.2604927088</v>
      </c>
      <c r="DQ4">
        <v>174.4342013369</v>
      </c>
    </row>
    <row r="5" spans="2:121" x14ac:dyDescent="0.2">
      <c r="B5" t="s">
        <v>101</v>
      </c>
      <c r="C5">
        <v>134102</v>
      </c>
      <c r="D5">
        <v>83811</v>
      </c>
      <c r="F5" t="s">
        <v>54</v>
      </c>
      <c r="G5">
        <v>4478</v>
      </c>
      <c r="H5">
        <v>340.57146047340001</v>
      </c>
      <c r="I5">
        <v>3471</v>
      </c>
      <c r="J5">
        <v>1069</v>
      </c>
      <c r="K5">
        <v>6648</v>
      </c>
      <c r="L5">
        <v>3891</v>
      </c>
      <c r="M5">
        <v>2516</v>
      </c>
      <c r="N5">
        <v>1807</v>
      </c>
      <c r="O5">
        <v>10513</v>
      </c>
      <c r="P5">
        <v>9053</v>
      </c>
      <c r="Q5">
        <v>0</v>
      </c>
      <c r="R5">
        <v>169</v>
      </c>
      <c r="T5" t="s">
        <v>218</v>
      </c>
      <c r="U5">
        <v>12407</v>
      </c>
      <c r="V5">
        <v>99.582010155600003</v>
      </c>
      <c r="W5">
        <v>10847</v>
      </c>
      <c r="X5">
        <v>1836</v>
      </c>
      <c r="Y5">
        <v>19278</v>
      </c>
      <c r="Z5">
        <v>4603</v>
      </c>
      <c r="AA5">
        <v>529</v>
      </c>
      <c r="AB5">
        <v>525</v>
      </c>
      <c r="AC5">
        <v>4435</v>
      </c>
      <c r="AD5">
        <v>607</v>
      </c>
      <c r="AE5">
        <v>1803</v>
      </c>
      <c r="AF5">
        <v>2987</v>
      </c>
      <c r="AH5" t="s">
        <v>436</v>
      </c>
      <c r="AI5">
        <v>8497</v>
      </c>
      <c r="AJ5">
        <v>301.98834882900002</v>
      </c>
      <c r="AK5">
        <v>6817</v>
      </c>
      <c r="AL5">
        <v>1978</v>
      </c>
      <c r="AM5">
        <v>10527</v>
      </c>
      <c r="AN5">
        <v>6445</v>
      </c>
      <c r="AO5">
        <v>579</v>
      </c>
      <c r="AP5">
        <v>472</v>
      </c>
      <c r="AQ5">
        <v>3378</v>
      </c>
      <c r="AR5">
        <v>2677</v>
      </c>
      <c r="AS5">
        <v>4</v>
      </c>
      <c r="AT5">
        <v>73</v>
      </c>
      <c r="AV5" t="s">
        <v>410</v>
      </c>
      <c r="AW5">
        <v>48</v>
      </c>
      <c r="AX5">
        <v>37.083333333299997</v>
      </c>
      <c r="AY5">
        <v>96</v>
      </c>
      <c r="AZ5">
        <v>2</v>
      </c>
      <c r="BA5">
        <v>79</v>
      </c>
      <c r="BC5">
        <v>1</v>
      </c>
      <c r="BD5">
        <v>1</v>
      </c>
      <c r="BE5">
        <v>2</v>
      </c>
      <c r="BF5">
        <v>1</v>
      </c>
      <c r="BG5">
        <v>118</v>
      </c>
      <c r="BH5">
        <v>18</v>
      </c>
      <c r="BJ5" t="s">
        <v>395</v>
      </c>
      <c r="BK5" t="s">
        <v>395</v>
      </c>
      <c r="BL5">
        <v>72268</v>
      </c>
      <c r="BM5">
        <v>26301</v>
      </c>
      <c r="BN5" s="156">
        <v>128.14861349419999</v>
      </c>
      <c r="BO5">
        <v>151930</v>
      </c>
      <c r="BP5">
        <v>12373</v>
      </c>
      <c r="BQ5">
        <v>197.5989600474</v>
      </c>
      <c r="BR5">
        <v>187.00937525259999</v>
      </c>
      <c r="BS5">
        <v>73159</v>
      </c>
      <c r="BT5">
        <v>24694</v>
      </c>
      <c r="BU5">
        <v>123.4098197078</v>
      </c>
      <c r="BV5">
        <v>153011</v>
      </c>
      <c r="BW5">
        <v>12564</v>
      </c>
      <c r="BX5">
        <v>199.44712471650001</v>
      </c>
      <c r="BY5">
        <v>182.35649474690001</v>
      </c>
      <c r="CA5" t="s">
        <v>1061</v>
      </c>
      <c r="CB5" t="s">
        <v>748</v>
      </c>
      <c r="CC5" t="s">
        <v>934</v>
      </c>
      <c r="CD5">
        <v>18985</v>
      </c>
      <c r="CE5">
        <v>1826</v>
      </c>
      <c r="CF5">
        <v>61.410639978900001</v>
      </c>
      <c r="CG5">
        <v>110883</v>
      </c>
      <c r="CH5">
        <v>8383</v>
      </c>
      <c r="CI5">
        <v>64.505794395899997</v>
      </c>
      <c r="CJ5">
        <v>62.185852320199999</v>
      </c>
      <c r="CL5" t="s">
        <v>1061</v>
      </c>
      <c r="CM5" t="s">
        <v>748</v>
      </c>
      <c r="CN5" t="s">
        <v>934</v>
      </c>
      <c r="CO5">
        <v>18985</v>
      </c>
      <c r="CP5">
        <v>1826</v>
      </c>
      <c r="CQ5">
        <v>61.410639978900001</v>
      </c>
      <c r="CR5">
        <v>110883</v>
      </c>
      <c r="CS5">
        <v>8383</v>
      </c>
      <c r="CT5">
        <v>64.505794395899997</v>
      </c>
      <c r="CU5">
        <v>62.185852320199999</v>
      </c>
      <c r="CW5" t="s">
        <v>1061</v>
      </c>
      <c r="CX5" t="s">
        <v>748</v>
      </c>
      <c r="CY5" t="s">
        <v>934</v>
      </c>
      <c r="CZ5">
        <v>18985</v>
      </c>
      <c r="DA5">
        <v>1826</v>
      </c>
      <c r="DB5">
        <v>61.410639978900001</v>
      </c>
      <c r="DC5">
        <v>110883</v>
      </c>
      <c r="DD5">
        <v>8383</v>
      </c>
      <c r="DE5">
        <v>64.505794395899997</v>
      </c>
      <c r="DF5">
        <v>62.185852320199999</v>
      </c>
      <c r="DH5" t="s">
        <v>1061</v>
      </c>
      <c r="DI5" t="s">
        <v>748</v>
      </c>
      <c r="DJ5" t="s">
        <v>934</v>
      </c>
      <c r="DK5">
        <v>18985</v>
      </c>
      <c r="DL5">
        <v>1826</v>
      </c>
      <c r="DM5">
        <v>61.410639978900001</v>
      </c>
      <c r="DN5">
        <v>110883</v>
      </c>
      <c r="DO5">
        <v>8383</v>
      </c>
      <c r="DP5">
        <v>64.505794395899997</v>
      </c>
      <c r="DQ5">
        <v>62.185852320199999</v>
      </c>
    </row>
    <row r="6" spans="2:121" x14ac:dyDescent="0.2">
      <c r="B6" t="s">
        <v>93</v>
      </c>
      <c r="C6">
        <v>6505</v>
      </c>
      <c r="D6">
        <v>971</v>
      </c>
      <c r="F6" t="s">
        <v>187</v>
      </c>
      <c r="G6">
        <v>1159</v>
      </c>
      <c r="H6">
        <v>143.16479723899999</v>
      </c>
      <c r="I6">
        <v>901</v>
      </c>
      <c r="J6">
        <v>142</v>
      </c>
      <c r="K6">
        <v>1432</v>
      </c>
      <c r="L6">
        <v>413</v>
      </c>
      <c r="M6">
        <v>328</v>
      </c>
      <c r="N6">
        <v>187</v>
      </c>
      <c r="O6">
        <v>82</v>
      </c>
      <c r="P6">
        <v>29</v>
      </c>
      <c r="Q6">
        <v>0</v>
      </c>
      <c r="R6">
        <v>4</v>
      </c>
      <c r="T6" t="s">
        <v>220</v>
      </c>
      <c r="U6">
        <v>2985</v>
      </c>
      <c r="V6">
        <v>39.4948073702</v>
      </c>
      <c r="W6">
        <v>6733</v>
      </c>
      <c r="X6">
        <v>326</v>
      </c>
      <c r="Y6">
        <v>5019</v>
      </c>
      <c r="Z6">
        <v>9</v>
      </c>
      <c r="AA6">
        <v>13</v>
      </c>
      <c r="AB6">
        <v>11</v>
      </c>
      <c r="AC6">
        <v>108</v>
      </c>
      <c r="AD6">
        <v>28</v>
      </c>
      <c r="AE6">
        <v>4790</v>
      </c>
      <c r="AF6">
        <v>1057</v>
      </c>
      <c r="AH6" t="s">
        <v>421</v>
      </c>
      <c r="AI6">
        <v>5322</v>
      </c>
      <c r="AJ6">
        <v>336.70913190530001</v>
      </c>
      <c r="AK6">
        <v>3654</v>
      </c>
      <c r="AL6">
        <v>1121</v>
      </c>
      <c r="AM6">
        <v>7192</v>
      </c>
      <c r="AN6">
        <v>4491</v>
      </c>
      <c r="AO6">
        <v>2026</v>
      </c>
      <c r="AP6">
        <v>1404</v>
      </c>
      <c r="AQ6">
        <v>7848</v>
      </c>
      <c r="AR6">
        <v>7023</v>
      </c>
      <c r="AS6">
        <v>13</v>
      </c>
      <c r="AT6">
        <v>164</v>
      </c>
      <c r="AV6" t="s">
        <v>430</v>
      </c>
      <c r="AW6">
        <v>35</v>
      </c>
      <c r="AX6">
        <v>41.485714285699999</v>
      </c>
      <c r="AY6">
        <v>56</v>
      </c>
      <c r="AZ6">
        <v>1</v>
      </c>
      <c r="BA6">
        <v>49</v>
      </c>
      <c r="BC6">
        <v>0</v>
      </c>
      <c r="BE6">
        <v>1</v>
      </c>
      <c r="BF6">
        <v>1</v>
      </c>
      <c r="BG6">
        <v>81</v>
      </c>
      <c r="BH6">
        <v>3</v>
      </c>
      <c r="BJ6" t="s">
        <v>601</v>
      </c>
      <c r="BK6" t="s">
        <v>395</v>
      </c>
      <c r="BL6">
        <v>7461</v>
      </c>
      <c r="BM6">
        <v>3146</v>
      </c>
      <c r="BN6" s="156">
        <v>139.53116204259999</v>
      </c>
      <c r="BO6">
        <v>15009</v>
      </c>
      <c r="BP6">
        <v>1318</v>
      </c>
      <c r="BQ6">
        <v>208.59184489309999</v>
      </c>
      <c r="BR6">
        <v>189.42261001520001</v>
      </c>
      <c r="BS6">
        <v>7161</v>
      </c>
      <c r="BT6">
        <v>2723</v>
      </c>
      <c r="BU6">
        <v>132.46306381790001</v>
      </c>
      <c r="BV6">
        <v>14843</v>
      </c>
      <c r="BW6">
        <v>1171</v>
      </c>
      <c r="BX6">
        <v>208.8725325069</v>
      </c>
      <c r="BY6">
        <v>180.52092228859999</v>
      </c>
      <c r="CA6" t="s">
        <v>1062</v>
      </c>
      <c r="CB6" t="s">
        <v>748</v>
      </c>
      <c r="CC6" t="s">
        <v>934</v>
      </c>
      <c r="CD6">
        <v>7865</v>
      </c>
      <c r="CE6">
        <v>1429</v>
      </c>
      <c r="CF6">
        <v>76.171265098500001</v>
      </c>
      <c r="CG6">
        <v>18820</v>
      </c>
      <c r="CH6">
        <v>1391</v>
      </c>
      <c r="CI6">
        <v>135.10042507969999</v>
      </c>
      <c r="CJ6">
        <v>126.291876348</v>
      </c>
      <c r="CL6" t="s">
        <v>1062</v>
      </c>
      <c r="CM6" t="s">
        <v>748</v>
      </c>
      <c r="CN6" t="s">
        <v>934</v>
      </c>
      <c r="CO6">
        <v>7865</v>
      </c>
      <c r="CP6">
        <v>1429</v>
      </c>
      <c r="CQ6">
        <v>76.171265098500001</v>
      </c>
      <c r="CR6">
        <v>18820</v>
      </c>
      <c r="CS6">
        <v>1391</v>
      </c>
      <c r="CT6">
        <v>135.10042507969999</v>
      </c>
      <c r="CU6">
        <v>126.291876348</v>
      </c>
      <c r="CW6" t="s">
        <v>1062</v>
      </c>
      <c r="CX6" t="s">
        <v>748</v>
      </c>
      <c r="CY6" t="s">
        <v>934</v>
      </c>
      <c r="CZ6">
        <v>7865</v>
      </c>
      <c r="DA6">
        <v>1429</v>
      </c>
      <c r="DB6">
        <v>76.171265098500001</v>
      </c>
      <c r="DC6">
        <v>18820</v>
      </c>
      <c r="DD6">
        <v>1391</v>
      </c>
      <c r="DE6">
        <v>135.10042507969999</v>
      </c>
      <c r="DF6">
        <v>126.291876348</v>
      </c>
      <c r="DH6" t="s">
        <v>1062</v>
      </c>
      <c r="DI6" t="s">
        <v>748</v>
      </c>
      <c r="DJ6" t="s">
        <v>934</v>
      </c>
      <c r="DK6">
        <v>7865</v>
      </c>
      <c r="DL6">
        <v>1429</v>
      </c>
      <c r="DM6">
        <v>76.171265098500001</v>
      </c>
      <c r="DN6">
        <v>18820</v>
      </c>
      <c r="DO6">
        <v>1391</v>
      </c>
      <c r="DP6">
        <v>135.10042507969999</v>
      </c>
      <c r="DQ6">
        <v>126.291876348</v>
      </c>
    </row>
    <row r="7" spans="2:121" x14ac:dyDescent="0.2">
      <c r="B7" t="s">
        <v>94</v>
      </c>
      <c r="C7">
        <v>361</v>
      </c>
      <c r="D7">
        <v>49</v>
      </c>
      <c r="F7" t="s">
        <v>61</v>
      </c>
      <c r="G7">
        <v>5161</v>
      </c>
      <c r="H7">
        <v>223.08428599109999</v>
      </c>
      <c r="I7">
        <v>9105</v>
      </c>
      <c r="J7">
        <v>2800</v>
      </c>
      <c r="K7">
        <v>8174</v>
      </c>
      <c r="L7">
        <v>4170</v>
      </c>
      <c r="M7">
        <v>1544</v>
      </c>
      <c r="N7">
        <v>1371</v>
      </c>
      <c r="O7">
        <v>1586</v>
      </c>
      <c r="P7">
        <v>1342</v>
      </c>
      <c r="Q7">
        <v>5</v>
      </c>
      <c r="R7">
        <v>201</v>
      </c>
      <c r="T7" t="s">
        <v>472</v>
      </c>
      <c r="U7">
        <v>20000</v>
      </c>
      <c r="V7">
        <v>81.5989</v>
      </c>
      <c r="W7">
        <v>23361</v>
      </c>
      <c r="X7">
        <v>2683</v>
      </c>
      <c r="Y7">
        <v>33221</v>
      </c>
      <c r="Z7">
        <v>6013</v>
      </c>
      <c r="AA7">
        <v>860</v>
      </c>
      <c r="AB7">
        <v>842</v>
      </c>
      <c r="AC7">
        <v>5315</v>
      </c>
      <c r="AD7">
        <v>983</v>
      </c>
      <c r="AE7">
        <v>10541</v>
      </c>
      <c r="AF7">
        <v>4496</v>
      </c>
      <c r="AH7" t="s">
        <v>417</v>
      </c>
      <c r="AI7">
        <v>31414</v>
      </c>
      <c r="AJ7">
        <v>365.98055007319999</v>
      </c>
      <c r="AK7">
        <v>35371</v>
      </c>
      <c r="AL7">
        <v>12231</v>
      </c>
      <c r="AM7">
        <v>43826</v>
      </c>
      <c r="AN7">
        <v>28839</v>
      </c>
      <c r="AO7">
        <v>4748</v>
      </c>
      <c r="AP7">
        <v>3864</v>
      </c>
      <c r="AQ7">
        <v>14280</v>
      </c>
      <c r="AR7">
        <v>10845</v>
      </c>
      <c r="AS7">
        <v>45</v>
      </c>
      <c r="AT7">
        <v>165</v>
      </c>
      <c r="AV7" t="s">
        <v>398</v>
      </c>
      <c r="AW7">
        <v>624</v>
      </c>
      <c r="AX7">
        <v>65.980769230799993</v>
      </c>
      <c r="AY7">
        <v>554</v>
      </c>
      <c r="AZ7">
        <v>29</v>
      </c>
      <c r="BA7">
        <v>1079</v>
      </c>
      <c r="BB7">
        <v>102</v>
      </c>
      <c r="BC7">
        <v>8</v>
      </c>
      <c r="BD7">
        <v>8</v>
      </c>
      <c r="BE7">
        <v>51</v>
      </c>
      <c r="BF7">
        <v>15</v>
      </c>
      <c r="BG7">
        <v>313</v>
      </c>
      <c r="BH7">
        <v>47</v>
      </c>
      <c r="BJ7" t="s">
        <v>648</v>
      </c>
      <c r="BK7" t="s">
        <v>395</v>
      </c>
      <c r="BL7">
        <v>942</v>
      </c>
      <c r="BM7">
        <v>142</v>
      </c>
      <c r="BN7" s="156">
        <v>74.280254777099998</v>
      </c>
      <c r="BO7">
        <v>2498</v>
      </c>
      <c r="BP7">
        <v>136</v>
      </c>
      <c r="BQ7">
        <v>103.1228983187</v>
      </c>
      <c r="BR7">
        <v>131.1029411765</v>
      </c>
      <c r="BS7">
        <v>1463</v>
      </c>
      <c r="BT7">
        <v>681</v>
      </c>
      <c r="BU7">
        <v>159.1257689679</v>
      </c>
      <c r="BV7">
        <v>4610</v>
      </c>
      <c r="BW7">
        <v>432</v>
      </c>
      <c r="BX7">
        <v>166.52125813449999</v>
      </c>
      <c r="BY7">
        <v>215.5763888889</v>
      </c>
      <c r="CA7" t="s">
        <v>421</v>
      </c>
      <c r="CB7" t="s">
        <v>784</v>
      </c>
      <c r="CC7" t="s">
        <v>1017</v>
      </c>
      <c r="CD7">
        <v>3644</v>
      </c>
      <c r="CE7">
        <v>1100</v>
      </c>
      <c r="CF7">
        <v>106.29939626780001</v>
      </c>
      <c r="CG7">
        <v>10308</v>
      </c>
      <c r="CH7">
        <v>852</v>
      </c>
      <c r="CI7">
        <v>171.7685292976</v>
      </c>
      <c r="CJ7">
        <v>137.95539906100001</v>
      </c>
      <c r="CL7" t="s">
        <v>421</v>
      </c>
      <c r="CM7" t="s">
        <v>765</v>
      </c>
      <c r="CN7" t="s">
        <v>764</v>
      </c>
      <c r="CO7">
        <v>209</v>
      </c>
      <c r="CP7">
        <v>17</v>
      </c>
      <c r="CQ7">
        <v>57.976076554999999</v>
      </c>
      <c r="CR7">
        <v>1481</v>
      </c>
      <c r="CS7">
        <v>129</v>
      </c>
      <c r="CT7">
        <v>49.347738014900003</v>
      </c>
      <c r="CU7">
        <v>37.596899224799998</v>
      </c>
      <c r="CW7" t="s">
        <v>421</v>
      </c>
      <c r="CX7" t="s">
        <v>775</v>
      </c>
      <c r="CY7" t="s">
        <v>774</v>
      </c>
      <c r="CZ7">
        <v>30</v>
      </c>
      <c r="DA7">
        <v>5</v>
      </c>
      <c r="DB7">
        <v>69.533333333300007</v>
      </c>
      <c r="DC7">
        <v>111</v>
      </c>
      <c r="DD7">
        <v>2</v>
      </c>
      <c r="DE7">
        <v>138.62162162160001</v>
      </c>
      <c r="DF7">
        <v>123.5</v>
      </c>
      <c r="DH7" t="s">
        <v>421</v>
      </c>
      <c r="DI7" t="s">
        <v>755</v>
      </c>
      <c r="DJ7" t="s">
        <v>754</v>
      </c>
      <c r="DK7">
        <v>29</v>
      </c>
      <c r="DL7">
        <v>7</v>
      </c>
      <c r="DM7">
        <v>87.310344827600005</v>
      </c>
      <c r="DN7">
        <v>93</v>
      </c>
      <c r="DO7">
        <v>3</v>
      </c>
      <c r="DP7">
        <v>144.69892473120001</v>
      </c>
      <c r="DQ7">
        <v>139.6666666667</v>
      </c>
    </row>
    <row r="8" spans="2:121" x14ac:dyDescent="0.2">
      <c r="B8" t="s">
        <v>103</v>
      </c>
      <c r="C8">
        <v>245</v>
      </c>
      <c r="D8">
        <v>177</v>
      </c>
      <c r="F8" t="s">
        <v>27</v>
      </c>
      <c r="G8">
        <v>3961</v>
      </c>
      <c r="H8">
        <v>152.68492804850001</v>
      </c>
      <c r="I8">
        <v>7644</v>
      </c>
      <c r="J8">
        <v>2171</v>
      </c>
      <c r="K8">
        <v>9063</v>
      </c>
      <c r="L8">
        <v>3383</v>
      </c>
      <c r="M8">
        <v>1234</v>
      </c>
      <c r="N8">
        <v>541</v>
      </c>
      <c r="O8">
        <v>620</v>
      </c>
      <c r="P8">
        <v>266</v>
      </c>
      <c r="Q8">
        <v>0</v>
      </c>
      <c r="R8">
        <v>74</v>
      </c>
      <c r="AH8" t="s">
        <v>413</v>
      </c>
      <c r="AI8">
        <v>8215</v>
      </c>
      <c r="AJ8">
        <v>422.21692026779999</v>
      </c>
      <c r="AK8">
        <v>7944</v>
      </c>
      <c r="AL8">
        <v>3222</v>
      </c>
      <c r="AM8">
        <v>10808</v>
      </c>
      <c r="AN8">
        <v>7422</v>
      </c>
      <c r="AO8">
        <v>2034</v>
      </c>
      <c r="AP8">
        <v>1757</v>
      </c>
      <c r="AQ8">
        <v>4687</v>
      </c>
      <c r="AR8">
        <v>2831</v>
      </c>
      <c r="AS8">
        <v>8</v>
      </c>
      <c r="AT8">
        <v>57</v>
      </c>
      <c r="AV8" t="s">
        <v>419</v>
      </c>
      <c r="AW8">
        <v>134</v>
      </c>
      <c r="AX8">
        <v>45.253731343299997</v>
      </c>
      <c r="AY8">
        <v>271</v>
      </c>
      <c r="AZ8">
        <v>10</v>
      </c>
      <c r="BA8">
        <v>213</v>
      </c>
      <c r="BB8">
        <v>6</v>
      </c>
      <c r="BC8">
        <v>2</v>
      </c>
      <c r="BD8">
        <v>2</v>
      </c>
      <c r="BE8">
        <v>16</v>
      </c>
      <c r="BF8">
        <v>9</v>
      </c>
      <c r="BG8">
        <v>252</v>
      </c>
      <c r="BH8">
        <v>33</v>
      </c>
      <c r="BJ8" t="s">
        <v>636</v>
      </c>
      <c r="BK8" t="s">
        <v>395</v>
      </c>
      <c r="BL8">
        <v>19263</v>
      </c>
      <c r="BM8">
        <v>7540</v>
      </c>
      <c r="BN8" s="156">
        <v>140.7111561024</v>
      </c>
      <c r="BO8">
        <v>37096</v>
      </c>
      <c r="BP8">
        <v>2833</v>
      </c>
      <c r="BQ8">
        <v>217.310114298</v>
      </c>
      <c r="BR8">
        <v>232.3505118249</v>
      </c>
      <c r="BS8">
        <v>14806</v>
      </c>
      <c r="BT8">
        <v>4359</v>
      </c>
      <c r="BU8">
        <v>120.2982574632</v>
      </c>
      <c r="BV8">
        <v>26944</v>
      </c>
      <c r="BW8">
        <v>1718</v>
      </c>
      <c r="BX8">
        <v>221.8635317696</v>
      </c>
      <c r="BY8">
        <v>233.12281722930001</v>
      </c>
      <c r="CA8" t="s">
        <v>413</v>
      </c>
      <c r="CB8" t="s">
        <v>784</v>
      </c>
      <c r="CC8" t="s">
        <v>1018</v>
      </c>
      <c r="CD8">
        <v>7626</v>
      </c>
      <c r="CE8">
        <v>3196</v>
      </c>
      <c r="CF8">
        <v>139.63401521110001</v>
      </c>
      <c r="CG8">
        <v>16344</v>
      </c>
      <c r="CH8">
        <v>1437</v>
      </c>
      <c r="CI8">
        <v>194.71800048950001</v>
      </c>
      <c r="CJ8">
        <v>179.55462769659999</v>
      </c>
      <c r="CL8" t="s">
        <v>413</v>
      </c>
      <c r="CM8" t="s">
        <v>765</v>
      </c>
      <c r="CN8" t="s">
        <v>766</v>
      </c>
      <c r="CO8">
        <v>299</v>
      </c>
      <c r="CP8">
        <v>14</v>
      </c>
      <c r="CQ8">
        <v>53.886287625400001</v>
      </c>
      <c r="CR8">
        <v>1562</v>
      </c>
      <c r="CS8">
        <v>126</v>
      </c>
      <c r="CT8">
        <v>61.012163892399997</v>
      </c>
      <c r="CU8">
        <v>66.246031746</v>
      </c>
      <c r="CW8" t="s">
        <v>413</v>
      </c>
      <c r="CX8" t="s">
        <v>775</v>
      </c>
      <c r="CY8" t="s">
        <v>776</v>
      </c>
      <c r="CZ8">
        <v>247</v>
      </c>
      <c r="DA8">
        <v>36</v>
      </c>
      <c r="DB8">
        <v>70.740890688299999</v>
      </c>
      <c r="DC8">
        <v>587</v>
      </c>
      <c r="DD8">
        <v>51</v>
      </c>
      <c r="DE8">
        <v>123.7853492334</v>
      </c>
      <c r="DF8">
        <v>109.862745098</v>
      </c>
      <c r="DH8" t="s">
        <v>413</v>
      </c>
      <c r="DI8" t="s">
        <v>755</v>
      </c>
      <c r="DJ8" t="s">
        <v>756</v>
      </c>
      <c r="DK8">
        <v>328</v>
      </c>
      <c r="DL8">
        <v>55</v>
      </c>
      <c r="DM8">
        <v>74.734756097599998</v>
      </c>
      <c r="DN8">
        <v>866</v>
      </c>
      <c r="DO8">
        <v>58</v>
      </c>
      <c r="DP8">
        <v>162.396073903</v>
      </c>
      <c r="DQ8">
        <v>151.53448275860001</v>
      </c>
    </row>
    <row r="9" spans="2:121" x14ac:dyDescent="0.2">
      <c r="B9" t="s">
        <v>95</v>
      </c>
      <c r="C9">
        <v>31</v>
      </c>
      <c r="D9">
        <v>17</v>
      </c>
      <c r="F9" t="s">
        <v>62</v>
      </c>
      <c r="G9">
        <v>6316</v>
      </c>
      <c r="H9">
        <v>408.52169094359999</v>
      </c>
      <c r="I9">
        <v>5951</v>
      </c>
      <c r="J9">
        <v>2145</v>
      </c>
      <c r="K9">
        <v>7494</v>
      </c>
      <c r="L9">
        <v>4988</v>
      </c>
      <c r="M9">
        <v>562</v>
      </c>
      <c r="N9">
        <v>512</v>
      </c>
      <c r="O9">
        <v>770</v>
      </c>
      <c r="P9">
        <v>557</v>
      </c>
      <c r="Q9">
        <v>3</v>
      </c>
      <c r="R9">
        <v>311</v>
      </c>
      <c r="AH9" t="s">
        <v>383</v>
      </c>
      <c r="AI9">
        <v>1641</v>
      </c>
      <c r="AJ9">
        <v>284.03290676419999</v>
      </c>
      <c r="AK9">
        <v>2034</v>
      </c>
      <c r="AL9">
        <v>549</v>
      </c>
      <c r="AM9">
        <v>2990</v>
      </c>
      <c r="AN9">
        <v>1831</v>
      </c>
      <c r="AO9">
        <v>331</v>
      </c>
      <c r="AP9">
        <v>249</v>
      </c>
      <c r="AQ9">
        <v>694</v>
      </c>
      <c r="AR9">
        <v>476</v>
      </c>
      <c r="AS9">
        <v>154</v>
      </c>
      <c r="AT9">
        <v>3</v>
      </c>
      <c r="AV9" t="s">
        <v>427</v>
      </c>
      <c r="AW9">
        <v>31</v>
      </c>
      <c r="AX9">
        <v>111.67741935479999</v>
      </c>
      <c r="AY9">
        <v>29</v>
      </c>
      <c r="AZ9">
        <v>4</v>
      </c>
      <c r="BA9">
        <v>46</v>
      </c>
      <c r="BB9">
        <v>18</v>
      </c>
      <c r="BC9">
        <v>2</v>
      </c>
      <c r="BD9">
        <v>2</v>
      </c>
      <c r="BE9">
        <v>16</v>
      </c>
      <c r="BF9">
        <v>2</v>
      </c>
      <c r="BG9">
        <v>9</v>
      </c>
      <c r="BH9">
        <v>5</v>
      </c>
      <c r="BJ9" t="s">
        <v>572</v>
      </c>
      <c r="BK9" t="s">
        <v>395</v>
      </c>
      <c r="BL9">
        <v>4920</v>
      </c>
      <c r="BM9">
        <v>2466</v>
      </c>
      <c r="BN9" s="156">
        <v>170.5233739837</v>
      </c>
      <c r="BO9">
        <v>11499</v>
      </c>
      <c r="BP9">
        <v>1013</v>
      </c>
      <c r="BQ9">
        <v>252.62588051130001</v>
      </c>
      <c r="BR9">
        <v>208.56268509380001</v>
      </c>
      <c r="BS9">
        <v>4712</v>
      </c>
      <c r="BT9">
        <v>1928</v>
      </c>
      <c r="BU9">
        <v>147.36544991509999</v>
      </c>
      <c r="BV9">
        <v>10664</v>
      </c>
      <c r="BW9">
        <v>963</v>
      </c>
      <c r="BX9">
        <v>249.3509939985</v>
      </c>
      <c r="BY9">
        <v>184.03842159920001</v>
      </c>
      <c r="CA9" t="s">
        <v>397</v>
      </c>
      <c r="CB9" t="s">
        <v>784</v>
      </c>
      <c r="CC9" t="s">
        <v>1019</v>
      </c>
      <c r="CD9">
        <v>6271</v>
      </c>
      <c r="CE9">
        <v>2226</v>
      </c>
      <c r="CF9">
        <v>120.05692871949999</v>
      </c>
      <c r="CG9">
        <v>13902</v>
      </c>
      <c r="CH9">
        <v>1233</v>
      </c>
      <c r="CI9">
        <v>182.18659185729999</v>
      </c>
      <c r="CJ9">
        <v>171.07218167069999</v>
      </c>
      <c r="CL9" t="s">
        <v>397</v>
      </c>
      <c r="CM9" t="s">
        <v>765</v>
      </c>
      <c r="CN9" t="s">
        <v>767</v>
      </c>
      <c r="CO9">
        <v>317</v>
      </c>
      <c r="CP9">
        <v>17</v>
      </c>
      <c r="CQ9">
        <v>51.9589905363</v>
      </c>
      <c r="CR9">
        <v>2221</v>
      </c>
      <c r="CS9">
        <v>181</v>
      </c>
      <c r="CT9">
        <v>53.414227825300003</v>
      </c>
      <c r="CU9">
        <v>48.961325966899999</v>
      </c>
      <c r="CW9" t="s">
        <v>397</v>
      </c>
      <c r="CX9" t="s">
        <v>775</v>
      </c>
      <c r="CY9" t="s">
        <v>777</v>
      </c>
      <c r="CZ9">
        <v>71</v>
      </c>
      <c r="DA9">
        <v>10</v>
      </c>
      <c r="DB9">
        <v>77.084507042300004</v>
      </c>
      <c r="DC9">
        <v>182</v>
      </c>
      <c r="DD9">
        <v>12</v>
      </c>
      <c r="DE9">
        <v>137.9945054945</v>
      </c>
      <c r="DF9">
        <v>187</v>
      </c>
      <c r="DH9" t="s">
        <v>397</v>
      </c>
      <c r="DI9" t="s">
        <v>755</v>
      </c>
      <c r="DJ9" t="s">
        <v>757</v>
      </c>
      <c r="DK9">
        <v>140</v>
      </c>
      <c r="DL9">
        <v>25</v>
      </c>
      <c r="DM9">
        <v>80.342857142900002</v>
      </c>
      <c r="DN9">
        <v>364</v>
      </c>
      <c r="DO9">
        <v>25</v>
      </c>
      <c r="DP9">
        <v>161.47802197799999</v>
      </c>
      <c r="DQ9">
        <v>121.16</v>
      </c>
    </row>
    <row r="10" spans="2:121" x14ac:dyDescent="0.2">
      <c r="B10" t="s">
        <v>323</v>
      </c>
      <c r="C10">
        <v>1</v>
      </c>
      <c r="D10">
        <v>1</v>
      </c>
      <c r="F10" t="s">
        <v>24</v>
      </c>
      <c r="G10">
        <v>1100</v>
      </c>
      <c r="H10">
        <v>118.9281818182</v>
      </c>
      <c r="I10">
        <v>4711</v>
      </c>
      <c r="J10">
        <v>1730</v>
      </c>
      <c r="K10">
        <v>2101</v>
      </c>
      <c r="L10">
        <v>544</v>
      </c>
      <c r="M10">
        <v>116</v>
      </c>
      <c r="N10">
        <v>53</v>
      </c>
      <c r="O10">
        <v>446</v>
      </c>
      <c r="P10">
        <v>332</v>
      </c>
      <c r="Q10">
        <v>0</v>
      </c>
      <c r="R10">
        <v>1</v>
      </c>
      <c r="AH10" t="s">
        <v>433</v>
      </c>
      <c r="AI10">
        <v>853</v>
      </c>
      <c r="AJ10">
        <v>440.23446658850003</v>
      </c>
      <c r="AK10">
        <v>1053</v>
      </c>
      <c r="AL10">
        <v>427</v>
      </c>
      <c r="AM10">
        <v>1071</v>
      </c>
      <c r="AN10">
        <v>735</v>
      </c>
      <c r="AO10">
        <v>57</v>
      </c>
      <c r="AP10">
        <v>47</v>
      </c>
      <c r="AQ10">
        <v>346</v>
      </c>
      <c r="AR10">
        <v>209</v>
      </c>
      <c r="AS10">
        <v>45</v>
      </c>
      <c r="AT10">
        <v>1</v>
      </c>
      <c r="AV10" t="s">
        <v>381</v>
      </c>
      <c r="AW10">
        <v>305</v>
      </c>
      <c r="AX10">
        <v>89.344262295099995</v>
      </c>
      <c r="AY10">
        <v>364</v>
      </c>
      <c r="AZ10">
        <v>65</v>
      </c>
      <c r="BA10">
        <v>511</v>
      </c>
      <c r="BB10">
        <v>129</v>
      </c>
      <c r="BC10">
        <v>22</v>
      </c>
      <c r="BD10">
        <v>21</v>
      </c>
      <c r="BE10">
        <v>160</v>
      </c>
      <c r="BF10">
        <v>23</v>
      </c>
      <c r="BG10">
        <v>63</v>
      </c>
      <c r="BH10">
        <v>118</v>
      </c>
      <c r="BJ10" t="s">
        <v>624</v>
      </c>
      <c r="BK10" t="s">
        <v>395</v>
      </c>
      <c r="BL10">
        <v>3620</v>
      </c>
      <c r="BM10">
        <v>1078</v>
      </c>
      <c r="BN10" s="156">
        <v>105.3740331492</v>
      </c>
      <c r="BO10">
        <v>9895</v>
      </c>
      <c r="BP10">
        <v>804</v>
      </c>
      <c r="BQ10">
        <v>174.08125315820001</v>
      </c>
      <c r="BR10">
        <v>137.40920398009999</v>
      </c>
      <c r="BS10">
        <v>4923</v>
      </c>
      <c r="BT10">
        <v>1608</v>
      </c>
      <c r="BU10">
        <v>114.6902295348</v>
      </c>
      <c r="BV10">
        <v>11399</v>
      </c>
      <c r="BW10">
        <v>1060</v>
      </c>
      <c r="BX10">
        <v>178.3169576279</v>
      </c>
      <c r="BY10">
        <v>147.75566037740001</v>
      </c>
      <c r="CA10" t="s">
        <v>399</v>
      </c>
      <c r="CB10" t="s">
        <v>784</v>
      </c>
      <c r="CC10" t="s">
        <v>1020</v>
      </c>
      <c r="CD10">
        <v>4448</v>
      </c>
      <c r="CE10">
        <v>2011</v>
      </c>
      <c r="CF10">
        <v>156.3824190647</v>
      </c>
      <c r="CG10">
        <v>11383</v>
      </c>
      <c r="CH10">
        <v>981</v>
      </c>
      <c r="CI10">
        <v>232.95414214179999</v>
      </c>
      <c r="CJ10">
        <v>192.9092762487</v>
      </c>
      <c r="CL10" t="s">
        <v>399</v>
      </c>
      <c r="CM10" t="s">
        <v>765</v>
      </c>
      <c r="CN10" t="s">
        <v>768</v>
      </c>
      <c r="CO10">
        <v>281</v>
      </c>
      <c r="CP10">
        <v>24</v>
      </c>
      <c r="CQ10">
        <v>52.943060498199998</v>
      </c>
      <c r="CR10">
        <v>1572</v>
      </c>
      <c r="CS10">
        <v>120</v>
      </c>
      <c r="CT10">
        <v>60.1100508906</v>
      </c>
      <c r="CU10">
        <v>57.083333333299997</v>
      </c>
      <c r="CW10" t="s">
        <v>399</v>
      </c>
      <c r="CX10" t="s">
        <v>775</v>
      </c>
      <c r="CY10" t="s">
        <v>778</v>
      </c>
      <c r="CZ10">
        <v>60</v>
      </c>
      <c r="DA10">
        <v>14</v>
      </c>
      <c r="DB10">
        <v>93.566666666700002</v>
      </c>
      <c r="DC10">
        <v>118</v>
      </c>
      <c r="DD10">
        <v>12</v>
      </c>
      <c r="DE10">
        <v>148.2118644068</v>
      </c>
      <c r="DF10">
        <v>123.5833333333</v>
      </c>
      <c r="DH10" t="s">
        <v>399</v>
      </c>
      <c r="DI10" t="s">
        <v>755</v>
      </c>
      <c r="DJ10" t="s">
        <v>758</v>
      </c>
      <c r="DK10">
        <v>61</v>
      </c>
      <c r="DL10">
        <v>16</v>
      </c>
      <c r="DM10">
        <v>99.213114754100005</v>
      </c>
      <c r="DN10">
        <v>175</v>
      </c>
      <c r="DO10">
        <v>15</v>
      </c>
      <c r="DP10">
        <v>129.3485714286</v>
      </c>
      <c r="DQ10">
        <v>137.13333333329999</v>
      </c>
    </row>
    <row r="11" spans="2:121" x14ac:dyDescent="0.2">
      <c r="B11" t="s">
        <v>100</v>
      </c>
      <c r="C11">
        <v>184</v>
      </c>
      <c r="D11">
        <v>101</v>
      </c>
      <c r="F11" t="s">
        <v>36</v>
      </c>
      <c r="G11">
        <v>6022</v>
      </c>
      <c r="H11">
        <v>562.84108269679996</v>
      </c>
      <c r="I11">
        <v>6208</v>
      </c>
      <c r="J11">
        <v>2660</v>
      </c>
      <c r="K11">
        <v>7464</v>
      </c>
      <c r="L11">
        <v>5775</v>
      </c>
      <c r="M11">
        <v>963</v>
      </c>
      <c r="N11">
        <v>869</v>
      </c>
      <c r="O11">
        <v>6017</v>
      </c>
      <c r="P11">
        <v>5319</v>
      </c>
      <c r="Q11">
        <v>31</v>
      </c>
      <c r="R11">
        <v>6</v>
      </c>
      <c r="AH11" t="s">
        <v>424</v>
      </c>
      <c r="AI11">
        <v>497</v>
      </c>
      <c r="AJ11">
        <v>438.0845070423</v>
      </c>
      <c r="AK11">
        <v>587</v>
      </c>
      <c r="AL11">
        <v>228</v>
      </c>
      <c r="AM11">
        <v>670</v>
      </c>
      <c r="AN11">
        <v>465</v>
      </c>
      <c r="AO11">
        <v>97</v>
      </c>
      <c r="AP11">
        <v>80</v>
      </c>
      <c r="AQ11">
        <v>328</v>
      </c>
      <c r="AR11">
        <v>250</v>
      </c>
      <c r="AS11">
        <v>17</v>
      </c>
      <c r="AT11">
        <v>1</v>
      </c>
      <c r="AV11" t="s">
        <v>418</v>
      </c>
      <c r="AW11">
        <v>55</v>
      </c>
      <c r="AX11">
        <v>41.0727272727</v>
      </c>
      <c r="AY11">
        <v>107</v>
      </c>
      <c r="AZ11">
        <v>7</v>
      </c>
      <c r="BA11">
        <v>88</v>
      </c>
      <c r="BB11">
        <v>3</v>
      </c>
      <c r="BC11">
        <v>1</v>
      </c>
      <c r="BD11">
        <v>1</v>
      </c>
      <c r="BE11">
        <v>0</v>
      </c>
      <c r="BG11">
        <v>89</v>
      </c>
      <c r="BH11">
        <v>18</v>
      </c>
      <c r="BJ11" t="s">
        <v>626</v>
      </c>
      <c r="BK11" t="s">
        <v>395</v>
      </c>
      <c r="BL11">
        <v>7710</v>
      </c>
      <c r="BM11">
        <v>2168</v>
      </c>
      <c r="BN11" s="156">
        <v>102.5265888457</v>
      </c>
      <c r="BO11">
        <v>16258</v>
      </c>
      <c r="BP11">
        <v>1310</v>
      </c>
      <c r="BQ11">
        <v>167.10290318610001</v>
      </c>
      <c r="BR11">
        <v>159.90992366410001</v>
      </c>
      <c r="BS11">
        <v>10752</v>
      </c>
      <c r="BT11">
        <v>3585</v>
      </c>
      <c r="BU11">
        <v>116.29985119049999</v>
      </c>
      <c r="BV11">
        <v>23388</v>
      </c>
      <c r="BW11">
        <v>2031</v>
      </c>
      <c r="BX11">
        <v>182.96647853600001</v>
      </c>
      <c r="BY11">
        <v>170.81388478580001</v>
      </c>
      <c r="CA11" t="s">
        <v>428</v>
      </c>
      <c r="CB11" t="s">
        <v>784</v>
      </c>
      <c r="CC11" t="s">
        <v>1021</v>
      </c>
      <c r="CD11">
        <v>1010</v>
      </c>
      <c r="CE11">
        <v>182</v>
      </c>
      <c r="CF11">
        <v>82.478217821800001</v>
      </c>
      <c r="CG11">
        <v>2820</v>
      </c>
      <c r="CH11">
        <v>162</v>
      </c>
      <c r="CI11">
        <v>113.0255319149</v>
      </c>
      <c r="CJ11">
        <v>135.1296296296</v>
      </c>
      <c r="CL11" t="s">
        <v>428</v>
      </c>
      <c r="CM11" t="s">
        <v>765</v>
      </c>
      <c r="CN11" t="s">
        <v>769</v>
      </c>
      <c r="CO11">
        <v>68</v>
      </c>
      <c r="CP11">
        <v>3</v>
      </c>
      <c r="CQ11">
        <v>47.632352941199997</v>
      </c>
      <c r="CR11">
        <v>433</v>
      </c>
      <c r="CS11">
        <v>34</v>
      </c>
      <c r="CT11">
        <v>53.339491916900002</v>
      </c>
      <c r="CU11">
        <v>44.764705882400001</v>
      </c>
      <c r="CW11" t="s">
        <v>428</v>
      </c>
      <c r="CX11" t="s">
        <v>775</v>
      </c>
      <c r="CY11" t="s">
        <v>779</v>
      </c>
      <c r="CZ11">
        <v>21</v>
      </c>
      <c r="DA11">
        <v>3</v>
      </c>
      <c r="DB11">
        <v>65.761904761899999</v>
      </c>
      <c r="DC11">
        <v>63</v>
      </c>
      <c r="DD11">
        <v>5</v>
      </c>
      <c r="DE11">
        <v>140.20634920629999</v>
      </c>
      <c r="DF11">
        <v>114</v>
      </c>
      <c r="DH11" t="s">
        <v>428</v>
      </c>
      <c r="DI11" t="s">
        <v>755</v>
      </c>
      <c r="DJ11" t="s">
        <v>759</v>
      </c>
      <c r="DK11">
        <v>4</v>
      </c>
      <c r="DL11">
        <v>1</v>
      </c>
      <c r="DM11">
        <v>58.75</v>
      </c>
      <c r="DN11">
        <v>53</v>
      </c>
      <c r="DO11">
        <v>3</v>
      </c>
      <c r="DP11">
        <v>172.6603773585</v>
      </c>
      <c r="DQ11">
        <v>206</v>
      </c>
    </row>
    <row r="12" spans="2:121" x14ac:dyDescent="0.2">
      <c r="B12" t="s">
        <v>127</v>
      </c>
      <c r="C12">
        <v>612</v>
      </c>
      <c r="D12">
        <v>298</v>
      </c>
      <c r="F12" t="s">
        <v>60</v>
      </c>
      <c r="G12">
        <v>12434</v>
      </c>
      <c r="H12">
        <v>384.28502493159999</v>
      </c>
      <c r="I12">
        <v>8036</v>
      </c>
      <c r="J12">
        <v>3178</v>
      </c>
      <c r="K12">
        <v>13891</v>
      </c>
      <c r="L12">
        <v>10291</v>
      </c>
      <c r="M12">
        <v>4463</v>
      </c>
      <c r="N12">
        <v>4100</v>
      </c>
      <c r="O12">
        <v>2674</v>
      </c>
      <c r="P12">
        <v>2148</v>
      </c>
      <c r="Q12">
        <v>2</v>
      </c>
      <c r="R12">
        <v>336</v>
      </c>
      <c r="T12" t="s">
        <v>665</v>
      </c>
      <c r="U12" t="s">
        <v>315</v>
      </c>
      <c r="V12" t="s">
        <v>139</v>
      </c>
      <c r="W12" t="s">
        <v>222</v>
      </c>
      <c r="X12" t="s">
        <v>223</v>
      </c>
      <c r="Y12" t="s">
        <v>224</v>
      </c>
      <c r="Z12" t="s">
        <v>225</v>
      </c>
      <c r="AA12" t="s">
        <v>226</v>
      </c>
      <c r="AB12" t="s">
        <v>227</v>
      </c>
      <c r="AC12" t="s">
        <v>228</v>
      </c>
      <c r="AD12" t="s">
        <v>229</v>
      </c>
      <c r="AE12" t="s">
        <v>230</v>
      </c>
      <c r="AF12" t="s">
        <v>231</v>
      </c>
      <c r="AH12" t="s">
        <v>435</v>
      </c>
      <c r="AI12">
        <v>20210</v>
      </c>
      <c r="AJ12">
        <v>322.82508659080003</v>
      </c>
      <c r="AK12">
        <v>27699</v>
      </c>
      <c r="AL12">
        <v>11114</v>
      </c>
      <c r="AM12">
        <v>28084</v>
      </c>
      <c r="AN12">
        <v>16959</v>
      </c>
      <c r="AO12">
        <v>3445</v>
      </c>
      <c r="AP12">
        <v>2396</v>
      </c>
      <c r="AQ12">
        <v>10160</v>
      </c>
      <c r="AR12">
        <v>6779</v>
      </c>
      <c r="AS12">
        <v>960</v>
      </c>
      <c r="AT12">
        <v>243</v>
      </c>
      <c r="AV12" t="s">
        <v>397</v>
      </c>
      <c r="AW12">
        <v>346</v>
      </c>
      <c r="AX12">
        <v>53.153179190800003</v>
      </c>
      <c r="AY12">
        <v>348</v>
      </c>
      <c r="AZ12">
        <v>17</v>
      </c>
      <c r="BA12">
        <v>570</v>
      </c>
      <c r="BB12">
        <v>49</v>
      </c>
      <c r="BC12">
        <v>4</v>
      </c>
      <c r="BD12">
        <v>4</v>
      </c>
      <c r="BE12">
        <v>38</v>
      </c>
      <c r="BF12">
        <v>14</v>
      </c>
      <c r="BG12">
        <v>206</v>
      </c>
      <c r="BH12">
        <v>25</v>
      </c>
      <c r="BJ12" t="s">
        <v>568</v>
      </c>
      <c r="BK12" t="s">
        <v>395</v>
      </c>
      <c r="BL12">
        <v>6143</v>
      </c>
      <c r="BM12">
        <v>2151</v>
      </c>
      <c r="BN12" s="156">
        <v>118.508383526</v>
      </c>
      <c r="BO12">
        <v>12633</v>
      </c>
      <c r="BP12">
        <v>1152</v>
      </c>
      <c r="BQ12">
        <v>189.24095622580001</v>
      </c>
      <c r="BR12">
        <v>177.2829861111</v>
      </c>
      <c r="BS12">
        <v>4621</v>
      </c>
      <c r="BT12">
        <v>1126</v>
      </c>
      <c r="BU12">
        <v>96.830339753299995</v>
      </c>
      <c r="BV12">
        <v>9721</v>
      </c>
      <c r="BW12">
        <v>841</v>
      </c>
      <c r="BX12">
        <v>187.00596646439999</v>
      </c>
      <c r="BY12">
        <v>161.04875148630001</v>
      </c>
      <c r="CA12" t="s">
        <v>422</v>
      </c>
      <c r="CB12" t="s">
        <v>784</v>
      </c>
      <c r="CC12" t="s">
        <v>1022</v>
      </c>
      <c r="CD12">
        <v>7849</v>
      </c>
      <c r="CE12">
        <v>2231</v>
      </c>
      <c r="CF12">
        <v>103.5265638935</v>
      </c>
      <c r="CG12">
        <v>17189</v>
      </c>
      <c r="CH12">
        <v>1347</v>
      </c>
      <c r="CI12">
        <v>162.35609983130001</v>
      </c>
      <c r="CJ12">
        <v>154.1395694135</v>
      </c>
      <c r="CL12" t="s">
        <v>422</v>
      </c>
      <c r="CM12" t="s">
        <v>765</v>
      </c>
      <c r="CN12" t="s">
        <v>770</v>
      </c>
      <c r="CO12">
        <v>398</v>
      </c>
      <c r="CP12">
        <v>16</v>
      </c>
      <c r="CQ12">
        <v>51.889447236199999</v>
      </c>
      <c r="CR12">
        <v>2190</v>
      </c>
      <c r="CS12">
        <v>173</v>
      </c>
      <c r="CT12">
        <v>59.7324200913</v>
      </c>
      <c r="CU12">
        <v>66.901734103999999</v>
      </c>
      <c r="CW12" t="s">
        <v>422</v>
      </c>
      <c r="CX12" t="s">
        <v>775</v>
      </c>
      <c r="CY12" t="s">
        <v>780</v>
      </c>
      <c r="CZ12">
        <v>114</v>
      </c>
      <c r="DA12">
        <v>22</v>
      </c>
      <c r="DB12">
        <v>79.894736842100002</v>
      </c>
      <c r="DC12">
        <v>310</v>
      </c>
      <c r="DD12">
        <v>17</v>
      </c>
      <c r="DE12">
        <v>127.97741935480001</v>
      </c>
      <c r="DF12">
        <v>97.823529411799996</v>
      </c>
      <c r="DH12" t="s">
        <v>422</v>
      </c>
      <c r="DI12" t="s">
        <v>755</v>
      </c>
      <c r="DJ12" t="s">
        <v>760</v>
      </c>
      <c r="DK12">
        <v>203</v>
      </c>
      <c r="DL12">
        <v>38</v>
      </c>
      <c r="DM12">
        <v>81.216748768499997</v>
      </c>
      <c r="DN12">
        <v>568</v>
      </c>
      <c r="DO12">
        <v>37</v>
      </c>
      <c r="DP12">
        <v>164.36619718310001</v>
      </c>
      <c r="DQ12">
        <v>148</v>
      </c>
    </row>
    <row r="13" spans="2:121" x14ac:dyDescent="0.2">
      <c r="B13" t="s">
        <v>117</v>
      </c>
      <c r="C13">
        <v>5884</v>
      </c>
      <c r="D13">
        <v>334</v>
      </c>
      <c r="F13" t="s">
        <v>37</v>
      </c>
      <c r="G13">
        <v>457</v>
      </c>
      <c r="H13">
        <v>99.059080962799996</v>
      </c>
      <c r="I13">
        <v>1537</v>
      </c>
      <c r="J13">
        <v>411</v>
      </c>
      <c r="K13">
        <v>897</v>
      </c>
      <c r="L13">
        <v>122</v>
      </c>
      <c r="M13">
        <v>165</v>
      </c>
      <c r="N13">
        <v>86</v>
      </c>
      <c r="O13">
        <v>68</v>
      </c>
      <c r="P13">
        <v>44</v>
      </c>
      <c r="Q13">
        <v>0</v>
      </c>
      <c r="R13">
        <v>12</v>
      </c>
      <c r="T13" t="s">
        <v>395</v>
      </c>
      <c r="U13">
        <v>63127</v>
      </c>
      <c r="V13">
        <v>322.50498202040001</v>
      </c>
      <c r="W13">
        <v>74140</v>
      </c>
      <c r="X13">
        <v>27282</v>
      </c>
      <c r="Y13">
        <v>90365</v>
      </c>
      <c r="Z13">
        <v>51928</v>
      </c>
      <c r="AA13">
        <v>12447</v>
      </c>
      <c r="AB13">
        <v>9217</v>
      </c>
      <c r="AC13">
        <v>28587</v>
      </c>
      <c r="AD13">
        <v>21665</v>
      </c>
      <c r="AE13">
        <v>112</v>
      </c>
      <c r="AF13">
        <v>1259</v>
      </c>
      <c r="AH13" t="s">
        <v>391</v>
      </c>
      <c r="AI13">
        <v>16467</v>
      </c>
      <c r="AJ13">
        <v>365.80858687070003</v>
      </c>
      <c r="AK13">
        <v>18952</v>
      </c>
      <c r="AL13">
        <v>6441</v>
      </c>
      <c r="AM13">
        <v>22657</v>
      </c>
      <c r="AN13">
        <v>15367</v>
      </c>
      <c r="AO13">
        <v>4724</v>
      </c>
      <c r="AP13">
        <v>4057</v>
      </c>
      <c r="AQ13">
        <v>11072</v>
      </c>
      <c r="AR13">
        <v>8364</v>
      </c>
      <c r="AS13">
        <v>500</v>
      </c>
      <c r="AT13">
        <v>38</v>
      </c>
      <c r="AV13" t="s">
        <v>435</v>
      </c>
      <c r="AW13">
        <v>2316</v>
      </c>
      <c r="AX13">
        <v>100.743955095</v>
      </c>
      <c r="AY13">
        <v>2284</v>
      </c>
      <c r="AZ13">
        <v>482</v>
      </c>
      <c r="BA13">
        <v>3668</v>
      </c>
      <c r="BB13">
        <v>931</v>
      </c>
      <c r="BC13">
        <v>121</v>
      </c>
      <c r="BD13">
        <v>121</v>
      </c>
      <c r="BE13">
        <v>780</v>
      </c>
      <c r="BF13">
        <v>130</v>
      </c>
      <c r="BG13">
        <v>353</v>
      </c>
      <c r="BH13">
        <v>529</v>
      </c>
      <c r="BJ13" t="s">
        <v>605</v>
      </c>
      <c r="BK13" t="s">
        <v>395</v>
      </c>
      <c r="BL13">
        <v>1941</v>
      </c>
      <c r="BM13">
        <v>467</v>
      </c>
      <c r="BN13" s="156">
        <v>98.830499742399994</v>
      </c>
      <c r="BO13">
        <v>3990</v>
      </c>
      <c r="BP13">
        <v>233</v>
      </c>
      <c r="BQ13">
        <v>146.44786967420001</v>
      </c>
      <c r="BR13">
        <v>159.22317596569999</v>
      </c>
      <c r="BS13">
        <v>4518</v>
      </c>
      <c r="BT13">
        <v>1557</v>
      </c>
      <c r="BU13">
        <v>133.56463036740001</v>
      </c>
      <c r="BV13">
        <v>8314</v>
      </c>
      <c r="BW13">
        <v>752</v>
      </c>
      <c r="BX13">
        <v>177.77483762329999</v>
      </c>
      <c r="BY13">
        <v>204.31382978720001</v>
      </c>
      <c r="CA13" t="s">
        <v>420</v>
      </c>
      <c r="CB13" t="s">
        <v>784</v>
      </c>
      <c r="CC13" t="s">
        <v>1023</v>
      </c>
      <c r="CD13">
        <v>39319</v>
      </c>
      <c r="CE13">
        <v>14787</v>
      </c>
      <c r="CF13">
        <v>133.0426765686</v>
      </c>
      <c r="CG13">
        <v>84463</v>
      </c>
      <c r="CH13">
        <v>6796</v>
      </c>
      <c r="CI13">
        <v>195.01284586150001</v>
      </c>
      <c r="CJ13">
        <v>188.758534432</v>
      </c>
      <c r="CL13" t="s">
        <v>420</v>
      </c>
      <c r="CM13" t="s">
        <v>765</v>
      </c>
      <c r="CN13" t="s">
        <v>771</v>
      </c>
      <c r="CO13">
        <v>1748</v>
      </c>
      <c r="CP13">
        <v>121</v>
      </c>
      <c r="CQ13">
        <v>56.313501144200004</v>
      </c>
      <c r="CR13">
        <v>8876</v>
      </c>
      <c r="CS13">
        <v>648</v>
      </c>
      <c r="CT13">
        <v>61.188373141100001</v>
      </c>
      <c r="CU13">
        <v>61.856481481499998</v>
      </c>
      <c r="CW13" t="s">
        <v>420</v>
      </c>
      <c r="CX13" t="s">
        <v>775</v>
      </c>
      <c r="CY13" t="s">
        <v>781</v>
      </c>
      <c r="CZ13">
        <v>894</v>
      </c>
      <c r="DA13">
        <v>196</v>
      </c>
      <c r="DB13">
        <v>80.665548098399995</v>
      </c>
      <c r="DC13">
        <v>2071</v>
      </c>
      <c r="DD13">
        <v>165</v>
      </c>
      <c r="DE13">
        <v>136.796716562</v>
      </c>
      <c r="DF13">
        <v>139.11515151520001</v>
      </c>
      <c r="DH13" t="s">
        <v>420</v>
      </c>
      <c r="DI13" t="s">
        <v>755</v>
      </c>
      <c r="DJ13" t="s">
        <v>761</v>
      </c>
      <c r="DK13">
        <v>918</v>
      </c>
      <c r="DL13">
        <v>205</v>
      </c>
      <c r="DM13">
        <v>85.401960784300002</v>
      </c>
      <c r="DN13">
        <v>2468</v>
      </c>
      <c r="DO13">
        <v>230</v>
      </c>
      <c r="DP13">
        <v>171.43760129660001</v>
      </c>
      <c r="DQ13">
        <v>155.48695652169999</v>
      </c>
    </row>
    <row r="14" spans="2:121" x14ac:dyDescent="0.2">
      <c r="B14" t="s">
        <v>134</v>
      </c>
      <c r="C14">
        <v>810</v>
      </c>
      <c r="D14">
        <v>30</v>
      </c>
      <c r="F14" t="s">
        <v>41</v>
      </c>
      <c r="G14">
        <v>9184</v>
      </c>
      <c r="H14">
        <v>539.05966898949998</v>
      </c>
      <c r="I14">
        <v>8298</v>
      </c>
      <c r="J14">
        <v>2432</v>
      </c>
      <c r="K14">
        <v>11349</v>
      </c>
      <c r="L14">
        <v>9453</v>
      </c>
      <c r="M14">
        <v>1639</v>
      </c>
      <c r="N14">
        <v>1561</v>
      </c>
      <c r="O14">
        <v>4951</v>
      </c>
      <c r="P14">
        <v>4000</v>
      </c>
      <c r="Q14">
        <v>16</v>
      </c>
      <c r="R14">
        <v>343</v>
      </c>
      <c r="T14" t="s">
        <v>400</v>
      </c>
      <c r="U14">
        <v>49733</v>
      </c>
      <c r="V14">
        <v>334.91203024150002</v>
      </c>
      <c r="W14">
        <v>60221</v>
      </c>
      <c r="X14">
        <v>17497</v>
      </c>
      <c r="Y14">
        <v>76472</v>
      </c>
      <c r="Z14">
        <v>40636</v>
      </c>
      <c r="AA14">
        <v>10233</v>
      </c>
      <c r="AB14">
        <v>8307</v>
      </c>
      <c r="AC14">
        <v>22007</v>
      </c>
      <c r="AD14">
        <v>16419</v>
      </c>
      <c r="AE14">
        <v>232</v>
      </c>
      <c r="AF14">
        <v>1209</v>
      </c>
      <c r="AH14" t="s">
        <v>438</v>
      </c>
      <c r="AI14">
        <v>1886</v>
      </c>
      <c r="AJ14">
        <v>272.68769883350001</v>
      </c>
      <c r="AK14">
        <v>2227</v>
      </c>
      <c r="AL14">
        <v>765</v>
      </c>
      <c r="AM14">
        <v>2452</v>
      </c>
      <c r="AN14">
        <v>1425</v>
      </c>
      <c r="AO14">
        <v>392</v>
      </c>
      <c r="AP14">
        <v>352</v>
      </c>
      <c r="AQ14">
        <v>524</v>
      </c>
      <c r="AR14">
        <v>352</v>
      </c>
      <c r="AS14">
        <v>6</v>
      </c>
      <c r="AT14">
        <v>3</v>
      </c>
      <c r="AV14" t="s">
        <v>403</v>
      </c>
      <c r="AW14">
        <v>269</v>
      </c>
      <c r="AX14">
        <v>69.680297397800004</v>
      </c>
      <c r="AY14">
        <v>268</v>
      </c>
      <c r="AZ14">
        <v>15</v>
      </c>
      <c r="BA14">
        <v>437</v>
      </c>
      <c r="BB14">
        <v>50</v>
      </c>
      <c r="BC14">
        <v>7</v>
      </c>
      <c r="BD14">
        <v>7</v>
      </c>
      <c r="BE14">
        <v>41</v>
      </c>
      <c r="BF14">
        <v>6</v>
      </c>
      <c r="BG14">
        <v>316</v>
      </c>
      <c r="BH14">
        <v>39</v>
      </c>
      <c r="BJ14" t="s">
        <v>622</v>
      </c>
      <c r="BK14" t="s">
        <v>395</v>
      </c>
      <c r="BL14">
        <v>19317</v>
      </c>
      <c r="BM14">
        <v>6952</v>
      </c>
      <c r="BN14" s="156">
        <v>125.57400217430001</v>
      </c>
      <c r="BO14">
        <v>40873</v>
      </c>
      <c r="BP14">
        <v>3445</v>
      </c>
      <c r="BQ14">
        <v>194.75592689550001</v>
      </c>
      <c r="BR14">
        <v>174.1677793904</v>
      </c>
      <c r="BS14">
        <v>19056</v>
      </c>
      <c r="BT14">
        <v>6843</v>
      </c>
      <c r="BU14">
        <v>125.6005982368</v>
      </c>
      <c r="BV14">
        <v>40606</v>
      </c>
      <c r="BW14">
        <v>3415</v>
      </c>
      <c r="BX14">
        <v>197.4509185835</v>
      </c>
      <c r="BY14">
        <v>173.0418740849</v>
      </c>
      <c r="CA14" t="s">
        <v>416</v>
      </c>
      <c r="CB14" t="s">
        <v>784</v>
      </c>
      <c r="CC14" t="s">
        <v>1024</v>
      </c>
      <c r="CD14">
        <v>1853</v>
      </c>
      <c r="CE14">
        <v>504</v>
      </c>
      <c r="CF14">
        <v>103.8062601187</v>
      </c>
      <c r="CG14">
        <v>3989</v>
      </c>
      <c r="CH14">
        <v>242</v>
      </c>
      <c r="CI14">
        <v>146.29456004010001</v>
      </c>
      <c r="CJ14">
        <v>153.45867768599999</v>
      </c>
      <c r="CL14" t="s">
        <v>416</v>
      </c>
      <c r="CM14" t="s">
        <v>765</v>
      </c>
      <c r="CN14" t="s">
        <v>772</v>
      </c>
      <c r="CO14">
        <v>159</v>
      </c>
      <c r="CP14">
        <v>10</v>
      </c>
      <c r="CQ14">
        <v>57.062893081799999</v>
      </c>
      <c r="CR14">
        <v>898</v>
      </c>
      <c r="CS14">
        <v>76</v>
      </c>
      <c r="CT14">
        <v>64.888641425399996</v>
      </c>
      <c r="CU14">
        <v>68.144736842100002</v>
      </c>
      <c r="CW14" t="s">
        <v>416</v>
      </c>
      <c r="CX14" t="s">
        <v>775</v>
      </c>
      <c r="CY14" t="s">
        <v>782</v>
      </c>
      <c r="CZ14">
        <v>60</v>
      </c>
      <c r="DA14">
        <v>19</v>
      </c>
      <c r="DB14">
        <v>84.35</v>
      </c>
      <c r="DC14">
        <v>164</v>
      </c>
      <c r="DD14">
        <v>14</v>
      </c>
      <c r="DE14">
        <v>132.69512195120001</v>
      </c>
      <c r="DF14">
        <v>131.57142857139999</v>
      </c>
      <c r="DH14" t="s">
        <v>416</v>
      </c>
      <c r="DI14" t="s">
        <v>755</v>
      </c>
      <c r="DJ14" t="s">
        <v>762</v>
      </c>
      <c r="DK14">
        <v>51</v>
      </c>
      <c r="DL14">
        <v>6</v>
      </c>
      <c r="DM14">
        <v>67.3137254902</v>
      </c>
      <c r="DN14">
        <v>166</v>
      </c>
      <c r="DO14">
        <v>13</v>
      </c>
      <c r="DP14">
        <v>166.5</v>
      </c>
      <c r="DQ14">
        <v>143.69230769230001</v>
      </c>
    </row>
    <row r="15" spans="2:121" x14ac:dyDescent="0.2">
      <c r="B15" t="s">
        <v>124</v>
      </c>
      <c r="C15">
        <v>4</v>
      </c>
      <c r="D15">
        <v>2</v>
      </c>
      <c r="F15" t="s">
        <v>39</v>
      </c>
      <c r="G15">
        <v>518</v>
      </c>
      <c r="H15">
        <v>259.61003861</v>
      </c>
      <c r="I15">
        <v>905</v>
      </c>
      <c r="J15">
        <v>188</v>
      </c>
      <c r="K15">
        <v>861</v>
      </c>
      <c r="L15">
        <v>389</v>
      </c>
      <c r="M15">
        <v>147</v>
      </c>
      <c r="N15">
        <v>107</v>
      </c>
      <c r="O15">
        <v>156</v>
      </c>
      <c r="P15">
        <v>81</v>
      </c>
      <c r="Q15">
        <v>25</v>
      </c>
      <c r="R15">
        <v>8</v>
      </c>
      <c r="T15" t="s">
        <v>379</v>
      </c>
      <c r="U15">
        <v>114121</v>
      </c>
      <c r="V15">
        <v>388.71110487990001</v>
      </c>
      <c r="W15">
        <v>85424</v>
      </c>
      <c r="X15">
        <v>30536</v>
      </c>
      <c r="Y15">
        <v>141323</v>
      </c>
      <c r="Z15">
        <v>101541</v>
      </c>
      <c r="AA15">
        <v>16562</v>
      </c>
      <c r="AB15">
        <v>12713</v>
      </c>
      <c r="AC15">
        <v>34180</v>
      </c>
      <c r="AD15">
        <v>25529</v>
      </c>
      <c r="AE15">
        <v>6424</v>
      </c>
      <c r="AF15">
        <v>101</v>
      </c>
      <c r="AH15" t="s">
        <v>418</v>
      </c>
      <c r="AI15">
        <v>1058</v>
      </c>
      <c r="AJ15">
        <v>244.2807183365</v>
      </c>
      <c r="AK15">
        <v>1732</v>
      </c>
      <c r="AL15">
        <v>490</v>
      </c>
      <c r="AM15">
        <v>1646</v>
      </c>
      <c r="AN15">
        <v>702</v>
      </c>
      <c r="AO15">
        <v>242</v>
      </c>
      <c r="AP15">
        <v>164</v>
      </c>
      <c r="AQ15">
        <v>260</v>
      </c>
      <c r="AR15">
        <v>144</v>
      </c>
      <c r="AS15">
        <v>1</v>
      </c>
      <c r="AT15">
        <v>12</v>
      </c>
      <c r="AV15" t="s">
        <v>422</v>
      </c>
      <c r="AW15">
        <v>151</v>
      </c>
      <c r="AX15">
        <v>35.721854304600001</v>
      </c>
      <c r="AY15">
        <v>276</v>
      </c>
      <c r="AZ15">
        <v>3</v>
      </c>
      <c r="BA15">
        <v>272</v>
      </c>
      <c r="BB15">
        <v>3</v>
      </c>
      <c r="BC15">
        <v>2</v>
      </c>
      <c r="BD15">
        <v>2</v>
      </c>
      <c r="BE15">
        <v>11</v>
      </c>
      <c r="BF15">
        <v>6</v>
      </c>
      <c r="BG15">
        <v>377</v>
      </c>
      <c r="BH15">
        <v>51</v>
      </c>
      <c r="BJ15" t="s">
        <v>584</v>
      </c>
      <c r="BK15" t="s">
        <v>400</v>
      </c>
      <c r="BL15">
        <v>7906</v>
      </c>
      <c r="BM15">
        <v>2964</v>
      </c>
      <c r="BN15" s="156">
        <v>139.85302302049999</v>
      </c>
      <c r="BO15">
        <v>17912</v>
      </c>
      <c r="BP15">
        <v>1484</v>
      </c>
      <c r="BQ15">
        <v>236.1234368021</v>
      </c>
      <c r="BR15">
        <v>227.0478436658</v>
      </c>
      <c r="BS15">
        <v>5691</v>
      </c>
      <c r="BT15">
        <v>1442</v>
      </c>
      <c r="BU15">
        <v>117.1713231418</v>
      </c>
      <c r="BV15">
        <v>11678</v>
      </c>
      <c r="BW15">
        <v>778</v>
      </c>
      <c r="BX15">
        <v>257.91454016099999</v>
      </c>
      <c r="BY15">
        <v>241.27506426740001</v>
      </c>
      <c r="CA15" t="s">
        <v>431</v>
      </c>
      <c r="CB15" t="s">
        <v>784</v>
      </c>
      <c r="CC15" t="s">
        <v>1025</v>
      </c>
      <c r="CD15">
        <v>990</v>
      </c>
      <c r="CE15">
        <v>230</v>
      </c>
      <c r="CF15">
        <v>95.531313131299996</v>
      </c>
      <c r="CG15">
        <v>2271</v>
      </c>
      <c r="CH15">
        <v>137</v>
      </c>
      <c r="CI15">
        <v>135.6728313518</v>
      </c>
      <c r="CJ15">
        <v>124.0583941606</v>
      </c>
      <c r="CL15" t="s">
        <v>431</v>
      </c>
      <c r="CM15" t="s">
        <v>765</v>
      </c>
      <c r="CN15" t="s">
        <v>773</v>
      </c>
      <c r="CO15">
        <v>39</v>
      </c>
      <c r="CP15">
        <v>2</v>
      </c>
      <c r="CQ15">
        <v>56</v>
      </c>
      <c r="CR15">
        <v>210</v>
      </c>
      <c r="CS15">
        <v>17</v>
      </c>
      <c r="CT15">
        <v>68.900000000000006</v>
      </c>
      <c r="CU15">
        <v>62.470588235299999</v>
      </c>
      <c r="CW15" t="s">
        <v>431</v>
      </c>
      <c r="CX15" t="s">
        <v>775</v>
      </c>
      <c r="CY15" t="s">
        <v>783</v>
      </c>
      <c r="CZ15">
        <v>9</v>
      </c>
      <c r="DA15">
        <v>1</v>
      </c>
      <c r="DB15">
        <v>53.111111111100001</v>
      </c>
      <c r="DC15">
        <v>30</v>
      </c>
      <c r="DD15">
        <v>2</v>
      </c>
      <c r="DE15">
        <v>130.03333333329999</v>
      </c>
      <c r="DF15">
        <v>128.5</v>
      </c>
      <c r="DH15" t="s">
        <v>431</v>
      </c>
      <c r="DI15" t="s">
        <v>755</v>
      </c>
      <c r="DJ15" t="s">
        <v>763</v>
      </c>
      <c r="DK15">
        <v>14</v>
      </c>
      <c r="DL15">
        <v>2</v>
      </c>
      <c r="DM15">
        <v>76.571428571400006</v>
      </c>
      <c r="DN15">
        <v>39</v>
      </c>
      <c r="DO15">
        <v>2</v>
      </c>
      <c r="DP15">
        <v>129.1794871795</v>
      </c>
      <c r="DQ15">
        <v>131</v>
      </c>
    </row>
    <row r="16" spans="2:121" x14ac:dyDescent="0.2">
      <c r="B16" t="s">
        <v>999</v>
      </c>
      <c r="C16">
        <v>2</v>
      </c>
      <c r="F16" t="s">
        <v>64</v>
      </c>
      <c r="G16">
        <v>586</v>
      </c>
      <c r="H16">
        <v>162.27474402729999</v>
      </c>
      <c r="I16">
        <v>2652</v>
      </c>
      <c r="J16">
        <v>967</v>
      </c>
      <c r="K16">
        <v>1188</v>
      </c>
      <c r="L16">
        <v>466</v>
      </c>
      <c r="M16">
        <v>104</v>
      </c>
      <c r="N16">
        <v>76</v>
      </c>
      <c r="O16">
        <v>1998</v>
      </c>
      <c r="P16">
        <v>1259</v>
      </c>
      <c r="Q16">
        <v>0</v>
      </c>
      <c r="R16">
        <v>2</v>
      </c>
      <c r="T16" t="s">
        <v>8</v>
      </c>
      <c r="U16">
        <v>55</v>
      </c>
      <c r="V16">
        <v>743.70909090910004</v>
      </c>
      <c r="W16">
        <v>2</v>
      </c>
      <c r="X16">
        <v>1</v>
      </c>
      <c r="Y16">
        <v>58</v>
      </c>
      <c r="Z16">
        <v>57</v>
      </c>
      <c r="AA16">
        <v>1</v>
      </c>
      <c r="AB16">
        <v>1</v>
      </c>
      <c r="AC16">
        <v>15579</v>
      </c>
      <c r="AD16">
        <v>3368</v>
      </c>
      <c r="AE16">
        <v>0</v>
      </c>
      <c r="AF16">
        <v>6</v>
      </c>
      <c r="AH16" t="s">
        <v>404</v>
      </c>
      <c r="AI16">
        <v>7122</v>
      </c>
      <c r="AJ16">
        <v>451.05293456890001</v>
      </c>
      <c r="AK16">
        <v>8310</v>
      </c>
      <c r="AL16">
        <v>3083</v>
      </c>
      <c r="AM16">
        <v>9592</v>
      </c>
      <c r="AN16">
        <v>6617</v>
      </c>
      <c r="AO16">
        <v>1517</v>
      </c>
      <c r="AP16">
        <v>1366</v>
      </c>
      <c r="AQ16">
        <v>3267</v>
      </c>
      <c r="AR16">
        <v>2573</v>
      </c>
      <c r="AS16">
        <v>27</v>
      </c>
      <c r="AT16">
        <v>280</v>
      </c>
      <c r="AV16" t="s">
        <v>385</v>
      </c>
      <c r="AW16">
        <v>1436</v>
      </c>
      <c r="AX16">
        <v>97.829387186600002</v>
      </c>
      <c r="AY16">
        <v>1656</v>
      </c>
      <c r="AZ16">
        <v>282</v>
      </c>
      <c r="BA16">
        <v>2288</v>
      </c>
      <c r="BB16">
        <v>578</v>
      </c>
      <c r="BC16">
        <v>58</v>
      </c>
      <c r="BD16">
        <v>58</v>
      </c>
      <c r="BE16">
        <v>559</v>
      </c>
      <c r="BF16">
        <v>82</v>
      </c>
      <c r="BG16">
        <v>164</v>
      </c>
      <c r="BH16">
        <v>335</v>
      </c>
      <c r="BJ16" t="s">
        <v>576</v>
      </c>
      <c r="BK16" t="s">
        <v>400</v>
      </c>
      <c r="BL16">
        <v>8407</v>
      </c>
      <c r="BM16">
        <v>2447</v>
      </c>
      <c r="BN16" s="156">
        <v>113.1543951469</v>
      </c>
      <c r="BO16">
        <v>21678</v>
      </c>
      <c r="BP16">
        <v>1513</v>
      </c>
      <c r="BQ16">
        <v>166.8221699419</v>
      </c>
      <c r="BR16">
        <v>150.1421017845</v>
      </c>
      <c r="BS16">
        <v>11996</v>
      </c>
      <c r="BT16">
        <v>4894</v>
      </c>
      <c r="BU16">
        <v>141.15171723910001</v>
      </c>
      <c r="BV16">
        <v>27492</v>
      </c>
      <c r="BW16">
        <v>2255</v>
      </c>
      <c r="BX16">
        <v>181.09173577769999</v>
      </c>
      <c r="BY16">
        <v>180.688248337</v>
      </c>
      <c r="CA16" t="s">
        <v>395</v>
      </c>
      <c r="CB16" t="s">
        <v>784</v>
      </c>
      <c r="CD16">
        <v>73010</v>
      </c>
      <c r="CE16">
        <v>26467</v>
      </c>
      <c r="CF16">
        <v>127.5796055335</v>
      </c>
      <c r="CG16">
        <v>162669</v>
      </c>
      <c r="CH16">
        <v>13187</v>
      </c>
      <c r="CI16">
        <v>188.1738929974</v>
      </c>
      <c r="CJ16">
        <v>177.61333131110001</v>
      </c>
      <c r="CL16" t="s">
        <v>395</v>
      </c>
      <c r="CM16" t="s">
        <v>765</v>
      </c>
      <c r="CO16">
        <v>3518</v>
      </c>
      <c r="CP16">
        <v>224</v>
      </c>
      <c r="CQ16">
        <v>54.906480955100001</v>
      </c>
      <c r="CR16">
        <v>19443</v>
      </c>
      <c r="CS16">
        <v>1504</v>
      </c>
      <c r="CT16">
        <v>59.212467211899998</v>
      </c>
      <c r="CU16">
        <v>58.729388297900002</v>
      </c>
      <c r="CW16" t="s">
        <v>395</v>
      </c>
      <c r="CX16" t="s">
        <v>775</v>
      </c>
      <c r="CZ16">
        <v>1506</v>
      </c>
      <c r="DA16">
        <v>306</v>
      </c>
      <c r="DB16">
        <v>78.877158034499999</v>
      </c>
      <c r="DC16">
        <v>3636</v>
      </c>
      <c r="DD16">
        <v>280</v>
      </c>
      <c r="DE16">
        <v>134.24862486250001</v>
      </c>
      <c r="DF16">
        <v>131.6535714286</v>
      </c>
      <c r="DH16" t="s">
        <v>395</v>
      </c>
      <c r="DI16" t="s">
        <v>755</v>
      </c>
      <c r="DK16">
        <v>1748</v>
      </c>
      <c r="DL16">
        <v>355</v>
      </c>
      <c r="DM16">
        <v>82.363272311200006</v>
      </c>
      <c r="DN16">
        <v>4792</v>
      </c>
      <c r="DO16">
        <v>386</v>
      </c>
      <c r="DP16">
        <v>165.65150250420001</v>
      </c>
      <c r="DQ16">
        <v>150.98445595850001</v>
      </c>
    </row>
    <row r="17" spans="2:121" x14ac:dyDescent="0.2">
      <c r="B17" t="s">
        <v>125</v>
      </c>
      <c r="C17">
        <v>102</v>
      </c>
      <c r="D17">
        <v>96</v>
      </c>
      <c r="F17" t="s">
        <v>86</v>
      </c>
      <c r="G17">
        <v>16734</v>
      </c>
      <c r="H17">
        <v>329.6254332497</v>
      </c>
      <c r="I17">
        <v>24718</v>
      </c>
      <c r="J17">
        <v>8555</v>
      </c>
      <c r="K17">
        <v>24613</v>
      </c>
      <c r="L17">
        <v>14185</v>
      </c>
      <c r="M17">
        <v>4784</v>
      </c>
      <c r="N17">
        <v>3825</v>
      </c>
      <c r="O17">
        <v>6642</v>
      </c>
      <c r="P17">
        <v>4142</v>
      </c>
      <c r="Q17">
        <v>0</v>
      </c>
      <c r="R17">
        <v>20</v>
      </c>
      <c r="T17" t="s">
        <v>414</v>
      </c>
      <c r="U17">
        <v>66338</v>
      </c>
      <c r="V17">
        <v>376.72377822670001</v>
      </c>
      <c r="W17">
        <v>70461</v>
      </c>
      <c r="X17">
        <v>24226</v>
      </c>
      <c r="Y17">
        <v>90173</v>
      </c>
      <c r="Z17">
        <v>58698</v>
      </c>
      <c r="AA17">
        <v>16502</v>
      </c>
      <c r="AB17">
        <v>14138</v>
      </c>
      <c r="AC17">
        <v>28469</v>
      </c>
      <c r="AD17">
        <v>21766</v>
      </c>
      <c r="AE17">
        <v>330</v>
      </c>
      <c r="AF17">
        <v>697</v>
      </c>
      <c r="AH17" t="s">
        <v>402</v>
      </c>
      <c r="AI17">
        <v>7086</v>
      </c>
      <c r="AJ17">
        <v>572.39881456390003</v>
      </c>
      <c r="AK17">
        <v>5790</v>
      </c>
      <c r="AL17">
        <v>2053</v>
      </c>
      <c r="AM17">
        <v>9207</v>
      </c>
      <c r="AN17">
        <v>6779</v>
      </c>
      <c r="AO17">
        <v>1193</v>
      </c>
      <c r="AP17">
        <v>1051</v>
      </c>
      <c r="AQ17">
        <v>2054</v>
      </c>
      <c r="AR17">
        <v>1558</v>
      </c>
      <c r="AS17">
        <v>17</v>
      </c>
      <c r="AT17">
        <v>198</v>
      </c>
      <c r="AV17" t="s">
        <v>438</v>
      </c>
      <c r="AW17">
        <v>13</v>
      </c>
      <c r="AX17">
        <v>49.846153846199996</v>
      </c>
      <c r="AY17">
        <v>24</v>
      </c>
      <c r="BA17">
        <v>21</v>
      </c>
      <c r="BB17">
        <v>1</v>
      </c>
      <c r="BC17">
        <v>2</v>
      </c>
      <c r="BD17">
        <v>2</v>
      </c>
      <c r="BE17">
        <v>0</v>
      </c>
      <c r="BG17">
        <v>37</v>
      </c>
      <c r="BH17">
        <v>5</v>
      </c>
      <c r="BJ17" t="s">
        <v>593</v>
      </c>
      <c r="BK17" t="s">
        <v>400</v>
      </c>
      <c r="BL17">
        <v>2569</v>
      </c>
      <c r="BM17">
        <v>681</v>
      </c>
      <c r="BN17" s="156">
        <v>96.747372518500001</v>
      </c>
      <c r="BO17">
        <v>6119</v>
      </c>
      <c r="BP17">
        <v>392</v>
      </c>
      <c r="BQ17">
        <v>152.1900637359</v>
      </c>
      <c r="BR17">
        <v>172.4234693878</v>
      </c>
      <c r="BS17">
        <v>3513</v>
      </c>
      <c r="BT17">
        <v>1500</v>
      </c>
      <c r="BU17">
        <v>137.92997438090001</v>
      </c>
      <c r="BV17">
        <v>8620</v>
      </c>
      <c r="BW17">
        <v>629</v>
      </c>
      <c r="BX17">
        <v>180.66589327150001</v>
      </c>
      <c r="BY17">
        <v>208.88076311610001</v>
      </c>
      <c r="CA17" t="s">
        <v>404</v>
      </c>
      <c r="CB17" t="s">
        <v>824</v>
      </c>
      <c r="CC17" t="s">
        <v>1026</v>
      </c>
      <c r="CD17">
        <v>8092</v>
      </c>
      <c r="CE17">
        <v>3043</v>
      </c>
      <c r="CF17">
        <v>139.60257043990001</v>
      </c>
      <c r="CG17">
        <v>18559</v>
      </c>
      <c r="CH17">
        <v>1504</v>
      </c>
      <c r="CI17">
        <v>226.81232825039999</v>
      </c>
      <c r="CJ17">
        <v>219.25</v>
      </c>
      <c r="CL17" t="s">
        <v>404</v>
      </c>
      <c r="CM17" t="s">
        <v>799</v>
      </c>
      <c r="CN17" t="s">
        <v>798</v>
      </c>
      <c r="CO17">
        <v>515</v>
      </c>
      <c r="CP17">
        <v>36</v>
      </c>
      <c r="CQ17">
        <v>52.114563106799999</v>
      </c>
      <c r="CR17">
        <v>3361</v>
      </c>
      <c r="CS17">
        <v>262</v>
      </c>
      <c r="CT17">
        <v>51.896161856600003</v>
      </c>
      <c r="CU17">
        <v>44.293893129799997</v>
      </c>
      <c r="CW17" t="s">
        <v>404</v>
      </c>
      <c r="CX17" t="s">
        <v>812</v>
      </c>
      <c r="CY17" t="s">
        <v>811</v>
      </c>
      <c r="CZ17">
        <v>184</v>
      </c>
      <c r="DA17">
        <v>38</v>
      </c>
      <c r="DB17">
        <v>81.233695652199998</v>
      </c>
      <c r="DC17">
        <v>448</v>
      </c>
      <c r="DD17">
        <v>22</v>
      </c>
      <c r="DE17">
        <v>141.36830357139999</v>
      </c>
      <c r="DF17">
        <v>132.5909090909</v>
      </c>
      <c r="DH17" t="s">
        <v>404</v>
      </c>
      <c r="DI17" t="s">
        <v>786</v>
      </c>
      <c r="DJ17" t="s">
        <v>785</v>
      </c>
      <c r="DK17">
        <v>146</v>
      </c>
      <c r="DL17">
        <v>31</v>
      </c>
      <c r="DM17">
        <v>83.191780821899997</v>
      </c>
      <c r="DN17">
        <v>411</v>
      </c>
      <c r="DO17">
        <v>29</v>
      </c>
      <c r="DP17">
        <v>152.18978102189999</v>
      </c>
      <c r="DQ17">
        <v>133</v>
      </c>
    </row>
    <row r="18" spans="2:121" x14ac:dyDescent="0.2">
      <c r="B18" t="s">
        <v>97</v>
      </c>
      <c r="C18">
        <v>7</v>
      </c>
      <c r="D18">
        <v>5</v>
      </c>
      <c r="F18" t="s">
        <v>73</v>
      </c>
      <c r="G18">
        <v>9739</v>
      </c>
      <c r="H18">
        <v>230.6121778417</v>
      </c>
      <c r="I18">
        <v>5046</v>
      </c>
      <c r="J18">
        <v>1082</v>
      </c>
      <c r="K18">
        <v>16995</v>
      </c>
      <c r="L18">
        <v>7642</v>
      </c>
      <c r="M18">
        <v>910</v>
      </c>
      <c r="N18">
        <v>531</v>
      </c>
      <c r="O18">
        <v>131</v>
      </c>
      <c r="P18">
        <v>66</v>
      </c>
      <c r="Q18">
        <v>0</v>
      </c>
      <c r="R18">
        <v>3</v>
      </c>
      <c r="T18" t="s">
        <v>390</v>
      </c>
      <c r="U18">
        <v>68516</v>
      </c>
      <c r="V18">
        <v>342.32706229199999</v>
      </c>
      <c r="W18">
        <v>80005</v>
      </c>
      <c r="X18">
        <v>29837</v>
      </c>
      <c r="Y18">
        <v>94495</v>
      </c>
      <c r="Z18">
        <v>61786</v>
      </c>
      <c r="AA18">
        <v>16820</v>
      </c>
      <c r="AB18">
        <v>14449</v>
      </c>
      <c r="AC18">
        <v>30597</v>
      </c>
      <c r="AD18">
        <v>21960</v>
      </c>
      <c r="AE18">
        <v>155</v>
      </c>
      <c r="AF18">
        <v>1087</v>
      </c>
      <c r="AH18" t="s">
        <v>409</v>
      </c>
      <c r="AI18">
        <v>1772</v>
      </c>
      <c r="AJ18">
        <v>166.24266365689999</v>
      </c>
      <c r="AK18">
        <v>2745</v>
      </c>
      <c r="AL18">
        <v>730</v>
      </c>
      <c r="AM18">
        <v>3136</v>
      </c>
      <c r="AN18">
        <v>1374</v>
      </c>
      <c r="AO18">
        <v>267</v>
      </c>
      <c r="AP18">
        <v>204</v>
      </c>
      <c r="AQ18">
        <v>1240</v>
      </c>
      <c r="AR18">
        <v>1046</v>
      </c>
      <c r="AS18">
        <v>2</v>
      </c>
      <c r="AT18">
        <v>16</v>
      </c>
      <c r="AV18" t="s">
        <v>409</v>
      </c>
      <c r="AW18">
        <v>123</v>
      </c>
      <c r="AX18">
        <v>47.902439024400003</v>
      </c>
      <c r="AY18">
        <v>274</v>
      </c>
      <c r="AZ18">
        <v>4</v>
      </c>
      <c r="BA18">
        <v>215</v>
      </c>
      <c r="BB18">
        <v>6</v>
      </c>
      <c r="BC18">
        <v>0</v>
      </c>
      <c r="BE18">
        <v>4</v>
      </c>
      <c r="BF18">
        <v>1</v>
      </c>
      <c r="BG18">
        <v>171</v>
      </c>
      <c r="BH18">
        <v>24</v>
      </c>
      <c r="BJ18" t="s">
        <v>586</v>
      </c>
      <c r="BK18" t="s">
        <v>400</v>
      </c>
      <c r="BL18">
        <v>8470</v>
      </c>
      <c r="BM18">
        <v>2519</v>
      </c>
      <c r="BN18" s="156">
        <v>107.5306965762</v>
      </c>
      <c r="BO18">
        <v>18224</v>
      </c>
      <c r="BP18">
        <v>1531</v>
      </c>
      <c r="BQ18">
        <v>179.56738366990001</v>
      </c>
      <c r="BR18">
        <v>175.25408229920001</v>
      </c>
      <c r="BS18">
        <v>9163</v>
      </c>
      <c r="BT18">
        <v>2958</v>
      </c>
      <c r="BU18">
        <v>111.994761541</v>
      </c>
      <c r="BV18">
        <v>20169</v>
      </c>
      <c r="BW18">
        <v>1527</v>
      </c>
      <c r="BX18">
        <v>180.57132232629999</v>
      </c>
      <c r="BY18">
        <v>176.0975769483</v>
      </c>
      <c r="CA18" t="s">
        <v>402</v>
      </c>
      <c r="CB18" t="s">
        <v>824</v>
      </c>
      <c r="CC18" t="s">
        <v>1027</v>
      </c>
      <c r="CD18">
        <v>5773</v>
      </c>
      <c r="CE18">
        <v>2060</v>
      </c>
      <c r="CF18">
        <v>128.7545470293</v>
      </c>
      <c r="CG18">
        <v>16093</v>
      </c>
      <c r="CH18">
        <v>1496</v>
      </c>
      <c r="CI18">
        <v>211.7625054371</v>
      </c>
      <c r="CJ18">
        <v>188.86831550799999</v>
      </c>
      <c r="CL18" t="s">
        <v>402</v>
      </c>
      <c r="CM18" t="s">
        <v>799</v>
      </c>
      <c r="CN18" t="s">
        <v>800</v>
      </c>
      <c r="CO18">
        <v>328</v>
      </c>
      <c r="CP18">
        <v>23</v>
      </c>
      <c r="CQ18">
        <v>50.024390243900001</v>
      </c>
      <c r="CR18">
        <v>2145</v>
      </c>
      <c r="CS18">
        <v>152</v>
      </c>
      <c r="CT18">
        <v>55.244755244799997</v>
      </c>
      <c r="CU18">
        <v>50.815789473700001</v>
      </c>
      <c r="CW18" t="s">
        <v>402</v>
      </c>
      <c r="CX18" t="s">
        <v>812</v>
      </c>
      <c r="CY18" t="s">
        <v>813</v>
      </c>
      <c r="CZ18">
        <v>81</v>
      </c>
      <c r="DA18">
        <v>14</v>
      </c>
      <c r="DB18">
        <v>76.567901234600001</v>
      </c>
      <c r="DC18">
        <v>209</v>
      </c>
      <c r="DD18">
        <v>15</v>
      </c>
      <c r="DE18">
        <v>136.56459330140001</v>
      </c>
      <c r="DF18">
        <v>159.6666666667</v>
      </c>
      <c r="DH18" t="s">
        <v>402</v>
      </c>
      <c r="DI18" t="s">
        <v>786</v>
      </c>
      <c r="DJ18" t="s">
        <v>787</v>
      </c>
      <c r="DK18">
        <v>79</v>
      </c>
      <c r="DL18">
        <v>13</v>
      </c>
      <c r="DM18">
        <v>72.113924050600005</v>
      </c>
      <c r="DN18">
        <v>137</v>
      </c>
      <c r="DO18">
        <v>15</v>
      </c>
      <c r="DP18">
        <v>142.78832116789999</v>
      </c>
      <c r="DQ18">
        <v>125.2666666667</v>
      </c>
    </row>
    <row r="19" spans="2:121" x14ac:dyDescent="0.2">
      <c r="B19" t="s">
        <v>129</v>
      </c>
      <c r="C19">
        <v>49</v>
      </c>
      <c r="D19">
        <v>26</v>
      </c>
      <c r="F19" t="s">
        <v>71</v>
      </c>
      <c r="G19">
        <v>3579</v>
      </c>
      <c r="H19">
        <v>478.57781503209998</v>
      </c>
      <c r="I19">
        <v>4005</v>
      </c>
      <c r="J19">
        <v>1575</v>
      </c>
      <c r="K19">
        <v>4484</v>
      </c>
      <c r="L19">
        <v>3340</v>
      </c>
      <c r="M19">
        <v>376</v>
      </c>
      <c r="N19">
        <v>345</v>
      </c>
      <c r="O19">
        <v>1133</v>
      </c>
      <c r="P19">
        <v>807</v>
      </c>
      <c r="Q19">
        <v>1</v>
      </c>
      <c r="R19">
        <v>109</v>
      </c>
      <c r="T19" t="s">
        <v>471</v>
      </c>
      <c r="U19">
        <v>361890</v>
      </c>
      <c r="V19">
        <v>358.84367901849998</v>
      </c>
      <c r="W19">
        <v>370253</v>
      </c>
      <c r="X19">
        <v>129379</v>
      </c>
      <c r="Y19">
        <v>492886</v>
      </c>
      <c r="Z19">
        <v>314646</v>
      </c>
      <c r="AA19">
        <v>72565</v>
      </c>
      <c r="AB19">
        <v>58825</v>
      </c>
      <c r="AC19">
        <v>159419</v>
      </c>
      <c r="AD19">
        <v>110707</v>
      </c>
      <c r="AE19">
        <v>7253</v>
      </c>
      <c r="AF19">
        <v>4359</v>
      </c>
      <c r="AH19" t="s">
        <v>432</v>
      </c>
      <c r="AI19">
        <v>2518</v>
      </c>
      <c r="AJ19">
        <v>194.88006354250001</v>
      </c>
      <c r="AK19">
        <v>2856</v>
      </c>
      <c r="AL19">
        <v>795</v>
      </c>
      <c r="AM19">
        <v>3651</v>
      </c>
      <c r="AN19">
        <v>1591</v>
      </c>
      <c r="AO19">
        <v>399</v>
      </c>
      <c r="AP19">
        <v>262</v>
      </c>
      <c r="AQ19">
        <v>394</v>
      </c>
      <c r="AR19">
        <v>244</v>
      </c>
      <c r="AS19">
        <v>1</v>
      </c>
      <c r="AT19">
        <v>15</v>
      </c>
      <c r="AV19" t="s">
        <v>8</v>
      </c>
      <c r="AW19">
        <v>219</v>
      </c>
      <c r="AX19">
        <v>97.497716894999996</v>
      </c>
      <c r="AY19">
        <v>183</v>
      </c>
      <c r="AZ19">
        <v>60</v>
      </c>
      <c r="BA19">
        <v>500</v>
      </c>
      <c r="BB19">
        <v>148</v>
      </c>
      <c r="BC19">
        <v>29</v>
      </c>
      <c r="BD19">
        <v>27</v>
      </c>
      <c r="BE19">
        <v>127</v>
      </c>
      <c r="BF19">
        <v>17</v>
      </c>
      <c r="BG19">
        <v>65</v>
      </c>
      <c r="BH19">
        <v>19</v>
      </c>
      <c r="BJ19" t="s">
        <v>650</v>
      </c>
      <c r="BK19" t="s">
        <v>400</v>
      </c>
      <c r="BL19">
        <v>947</v>
      </c>
      <c r="BM19">
        <v>213</v>
      </c>
      <c r="BN19" s="156">
        <v>92.397043294599996</v>
      </c>
      <c r="BO19">
        <v>2563</v>
      </c>
      <c r="BP19">
        <v>160</v>
      </c>
      <c r="BQ19">
        <v>134.9750292626</v>
      </c>
      <c r="BR19">
        <v>108.58750000000001</v>
      </c>
      <c r="BS19">
        <v>1516</v>
      </c>
      <c r="BT19">
        <v>664</v>
      </c>
      <c r="BU19">
        <v>139.8984168865</v>
      </c>
      <c r="BV19">
        <v>3255</v>
      </c>
      <c r="BW19">
        <v>254</v>
      </c>
      <c r="BX19">
        <v>154.12565284179999</v>
      </c>
      <c r="BY19">
        <v>159.45669291339999</v>
      </c>
      <c r="CA19" t="s">
        <v>409</v>
      </c>
      <c r="CB19" t="s">
        <v>824</v>
      </c>
      <c r="CC19" t="s">
        <v>1028</v>
      </c>
      <c r="CD19">
        <v>2629</v>
      </c>
      <c r="CE19">
        <v>712</v>
      </c>
      <c r="CF19">
        <v>97.9802206162</v>
      </c>
      <c r="CG19">
        <v>6356</v>
      </c>
      <c r="CH19">
        <v>412</v>
      </c>
      <c r="CI19">
        <v>151.7665198238</v>
      </c>
      <c r="CJ19">
        <v>163.0558252427</v>
      </c>
      <c r="CL19" t="s">
        <v>409</v>
      </c>
      <c r="CM19" t="s">
        <v>799</v>
      </c>
      <c r="CN19" t="s">
        <v>801</v>
      </c>
      <c r="CO19">
        <v>239</v>
      </c>
      <c r="CP19">
        <v>12</v>
      </c>
      <c r="CQ19">
        <v>53.334728033499999</v>
      </c>
      <c r="CR19">
        <v>1428</v>
      </c>
      <c r="CS19">
        <v>108</v>
      </c>
      <c r="CT19">
        <v>55.339635854299999</v>
      </c>
      <c r="CU19">
        <v>57.268518518500002</v>
      </c>
      <c r="CW19" t="s">
        <v>409</v>
      </c>
      <c r="CX19" t="s">
        <v>812</v>
      </c>
      <c r="CY19" t="s">
        <v>814</v>
      </c>
      <c r="CZ19">
        <v>51</v>
      </c>
      <c r="DA19">
        <v>5</v>
      </c>
      <c r="DB19">
        <v>55.215686274500001</v>
      </c>
      <c r="DC19">
        <v>104</v>
      </c>
      <c r="DD19">
        <v>7</v>
      </c>
      <c r="DE19">
        <v>121.6730769231</v>
      </c>
      <c r="DF19">
        <v>117.1428571429</v>
      </c>
      <c r="DH19" t="s">
        <v>409</v>
      </c>
      <c r="DI19" t="s">
        <v>786</v>
      </c>
      <c r="DJ19" t="s">
        <v>788</v>
      </c>
      <c r="DK19">
        <v>33</v>
      </c>
      <c r="DL19">
        <v>3</v>
      </c>
      <c r="DM19">
        <v>68</v>
      </c>
      <c r="DN19">
        <v>67</v>
      </c>
      <c r="DO19">
        <v>4</v>
      </c>
      <c r="DP19">
        <v>155.64179104479999</v>
      </c>
      <c r="DQ19">
        <v>124.75</v>
      </c>
    </row>
    <row r="20" spans="2:121" x14ac:dyDescent="0.2">
      <c r="B20" t="s">
        <v>122</v>
      </c>
      <c r="C20">
        <v>12386</v>
      </c>
      <c r="D20">
        <v>1883</v>
      </c>
      <c r="F20" t="s">
        <v>77</v>
      </c>
      <c r="G20">
        <v>929</v>
      </c>
      <c r="H20">
        <v>53.539289558699998</v>
      </c>
      <c r="I20">
        <v>904</v>
      </c>
      <c r="J20">
        <v>248</v>
      </c>
      <c r="K20">
        <v>1110</v>
      </c>
      <c r="L20">
        <v>103</v>
      </c>
      <c r="M20">
        <v>865</v>
      </c>
      <c r="N20">
        <v>100</v>
      </c>
      <c r="O20">
        <v>31</v>
      </c>
      <c r="P20">
        <v>14</v>
      </c>
      <c r="Q20">
        <v>0</v>
      </c>
      <c r="R20">
        <v>2</v>
      </c>
      <c r="AH20" t="s">
        <v>403</v>
      </c>
      <c r="AI20">
        <v>7191</v>
      </c>
      <c r="AJ20">
        <v>508.0432485051</v>
      </c>
      <c r="AK20">
        <v>4788</v>
      </c>
      <c r="AL20">
        <v>1818</v>
      </c>
      <c r="AM20">
        <v>9541</v>
      </c>
      <c r="AN20">
        <v>7137</v>
      </c>
      <c r="AO20">
        <v>1511</v>
      </c>
      <c r="AP20">
        <v>1400</v>
      </c>
      <c r="AQ20">
        <v>1012</v>
      </c>
      <c r="AR20">
        <v>637</v>
      </c>
      <c r="AS20">
        <v>54</v>
      </c>
      <c r="AT20">
        <v>155</v>
      </c>
      <c r="AV20" t="s">
        <v>392</v>
      </c>
      <c r="AW20">
        <v>1303</v>
      </c>
      <c r="AX20">
        <v>104.1258633922</v>
      </c>
      <c r="AY20">
        <v>919</v>
      </c>
      <c r="AZ20">
        <v>164</v>
      </c>
      <c r="BA20">
        <v>2422</v>
      </c>
      <c r="BB20">
        <v>525</v>
      </c>
      <c r="BC20">
        <v>71</v>
      </c>
      <c r="BD20">
        <v>65</v>
      </c>
      <c r="BE20">
        <v>511</v>
      </c>
      <c r="BF20">
        <v>87</v>
      </c>
      <c r="BG20">
        <v>201</v>
      </c>
      <c r="BH20">
        <v>302</v>
      </c>
      <c r="BJ20" t="s">
        <v>578</v>
      </c>
      <c r="BK20" t="s">
        <v>400</v>
      </c>
      <c r="BL20">
        <v>5576</v>
      </c>
      <c r="BM20">
        <v>1986</v>
      </c>
      <c r="BN20" s="156">
        <v>129.11101147779999</v>
      </c>
      <c r="BO20">
        <v>15341</v>
      </c>
      <c r="BP20">
        <v>1421</v>
      </c>
      <c r="BQ20">
        <v>219.47976011989999</v>
      </c>
      <c r="BR20">
        <v>197.4475721323</v>
      </c>
      <c r="BS20">
        <v>4628</v>
      </c>
      <c r="BT20">
        <v>1235</v>
      </c>
      <c r="BU20">
        <v>114.202031115</v>
      </c>
      <c r="BV20">
        <v>11510</v>
      </c>
      <c r="BW20">
        <v>1087</v>
      </c>
      <c r="BX20">
        <v>224.703301477</v>
      </c>
      <c r="BY20">
        <v>191.94664213429999</v>
      </c>
      <c r="CA20" t="s">
        <v>432</v>
      </c>
      <c r="CB20" t="s">
        <v>824</v>
      </c>
      <c r="CC20" t="s">
        <v>1029</v>
      </c>
      <c r="CD20">
        <v>2774</v>
      </c>
      <c r="CE20">
        <v>765</v>
      </c>
      <c r="CF20">
        <v>104.8828406633</v>
      </c>
      <c r="CG20">
        <v>6752</v>
      </c>
      <c r="CH20">
        <v>504</v>
      </c>
      <c r="CI20">
        <v>168.54561611369999</v>
      </c>
      <c r="CJ20">
        <v>147.6666666667</v>
      </c>
      <c r="CL20" t="s">
        <v>432</v>
      </c>
      <c r="CM20" t="s">
        <v>799</v>
      </c>
      <c r="CN20" t="s">
        <v>802</v>
      </c>
      <c r="CO20">
        <v>238</v>
      </c>
      <c r="CP20">
        <v>14</v>
      </c>
      <c r="CQ20">
        <v>57.247899159699998</v>
      </c>
      <c r="CR20">
        <v>1212</v>
      </c>
      <c r="CS20">
        <v>90</v>
      </c>
      <c r="CT20">
        <v>62.254125412500002</v>
      </c>
      <c r="CU20">
        <v>61.588888888900001</v>
      </c>
      <c r="CW20" t="s">
        <v>432</v>
      </c>
      <c r="CX20" t="s">
        <v>812</v>
      </c>
      <c r="CY20" t="s">
        <v>815</v>
      </c>
      <c r="CZ20">
        <v>86</v>
      </c>
      <c r="DA20">
        <v>13</v>
      </c>
      <c r="DB20">
        <v>66.930232558100002</v>
      </c>
      <c r="DC20">
        <v>208</v>
      </c>
      <c r="DD20">
        <v>16</v>
      </c>
      <c r="DE20">
        <v>127.98076923079999</v>
      </c>
      <c r="DF20">
        <v>116.9375</v>
      </c>
      <c r="DH20" t="s">
        <v>432</v>
      </c>
      <c r="DI20" t="s">
        <v>786</v>
      </c>
      <c r="DJ20" t="s">
        <v>789</v>
      </c>
      <c r="DK20">
        <v>130</v>
      </c>
      <c r="DL20">
        <v>18</v>
      </c>
      <c r="DM20">
        <v>74.923076923099998</v>
      </c>
      <c r="DN20">
        <v>232</v>
      </c>
      <c r="DO20">
        <v>23</v>
      </c>
      <c r="DP20">
        <v>167.57758620690001</v>
      </c>
      <c r="DQ20">
        <v>155.65217391300001</v>
      </c>
    </row>
    <row r="21" spans="2:121" x14ac:dyDescent="0.2">
      <c r="B21" t="s">
        <v>324</v>
      </c>
      <c r="C21">
        <v>1</v>
      </c>
      <c r="D21">
        <v>1</v>
      </c>
      <c r="F21" t="s">
        <v>8</v>
      </c>
      <c r="G21">
        <v>55</v>
      </c>
      <c r="H21">
        <v>743.70909090910004</v>
      </c>
      <c r="I21">
        <v>2</v>
      </c>
      <c r="J21">
        <v>1</v>
      </c>
      <c r="K21">
        <v>58</v>
      </c>
      <c r="L21">
        <v>57</v>
      </c>
      <c r="M21">
        <v>1</v>
      </c>
      <c r="N21">
        <v>1</v>
      </c>
      <c r="O21">
        <v>15579</v>
      </c>
      <c r="P21">
        <v>3368</v>
      </c>
      <c r="Q21">
        <v>0</v>
      </c>
      <c r="R21">
        <v>6</v>
      </c>
      <c r="AH21" t="s">
        <v>397</v>
      </c>
      <c r="AI21">
        <v>7462</v>
      </c>
      <c r="AJ21">
        <v>390.38046100240001</v>
      </c>
      <c r="AK21">
        <v>6384</v>
      </c>
      <c r="AL21">
        <v>2253</v>
      </c>
      <c r="AM21">
        <v>9751</v>
      </c>
      <c r="AN21">
        <v>6168</v>
      </c>
      <c r="AO21">
        <v>664</v>
      </c>
      <c r="AP21">
        <v>582</v>
      </c>
      <c r="AQ21">
        <v>1141</v>
      </c>
      <c r="AR21">
        <v>715</v>
      </c>
      <c r="AS21">
        <v>12</v>
      </c>
      <c r="AT21">
        <v>309</v>
      </c>
      <c r="AV21" t="s">
        <v>386</v>
      </c>
      <c r="AW21">
        <v>343</v>
      </c>
      <c r="AX21">
        <v>93.408163265300004</v>
      </c>
      <c r="AY21">
        <v>419</v>
      </c>
      <c r="AZ21">
        <v>67</v>
      </c>
      <c r="BA21">
        <v>551</v>
      </c>
      <c r="BB21">
        <v>137</v>
      </c>
      <c r="BC21">
        <v>25</v>
      </c>
      <c r="BD21">
        <v>25</v>
      </c>
      <c r="BE21">
        <v>160</v>
      </c>
      <c r="BF21">
        <v>32</v>
      </c>
      <c r="BG21">
        <v>77</v>
      </c>
      <c r="BH21">
        <v>120</v>
      </c>
      <c r="BJ21" t="s">
        <v>595</v>
      </c>
      <c r="BK21" t="s">
        <v>400</v>
      </c>
      <c r="BL21">
        <v>2279</v>
      </c>
      <c r="BM21">
        <v>377</v>
      </c>
      <c r="BN21" s="156">
        <v>83.313734093899996</v>
      </c>
      <c r="BO21">
        <v>4910</v>
      </c>
      <c r="BP21">
        <v>448</v>
      </c>
      <c r="BQ21">
        <v>122.0851323829</v>
      </c>
      <c r="BR21">
        <v>127.0357142857</v>
      </c>
      <c r="BS21">
        <v>5402</v>
      </c>
      <c r="BT21">
        <v>2144</v>
      </c>
      <c r="BU21">
        <v>129.30044427990001</v>
      </c>
      <c r="BV21">
        <v>13686</v>
      </c>
      <c r="BW21">
        <v>1394</v>
      </c>
      <c r="BX21">
        <v>178.69793950019999</v>
      </c>
      <c r="BY21">
        <v>178.61621233860001</v>
      </c>
      <c r="CA21" t="s">
        <v>405</v>
      </c>
      <c r="CB21" t="s">
        <v>824</v>
      </c>
      <c r="CC21" t="s">
        <v>1030</v>
      </c>
      <c r="CD21">
        <v>8423</v>
      </c>
      <c r="CE21">
        <v>2566</v>
      </c>
      <c r="CF21">
        <v>110.2889706755</v>
      </c>
      <c r="CG21">
        <v>18634</v>
      </c>
      <c r="CH21">
        <v>1554</v>
      </c>
      <c r="CI21">
        <v>175.7351078673</v>
      </c>
      <c r="CJ21">
        <v>171.99099099099999</v>
      </c>
      <c r="CL21" t="s">
        <v>405</v>
      </c>
      <c r="CM21" t="s">
        <v>799</v>
      </c>
      <c r="CN21" t="s">
        <v>803</v>
      </c>
      <c r="CO21">
        <v>544</v>
      </c>
      <c r="CP21">
        <v>48</v>
      </c>
      <c r="CQ21">
        <v>56.308823529400001</v>
      </c>
      <c r="CR21">
        <v>3739</v>
      </c>
      <c r="CS21">
        <v>268</v>
      </c>
      <c r="CT21">
        <v>58.798876704999998</v>
      </c>
      <c r="CU21">
        <v>48.585820895499999</v>
      </c>
      <c r="CW21" t="s">
        <v>405</v>
      </c>
      <c r="CX21" t="s">
        <v>812</v>
      </c>
      <c r="CY21" t="s">
        <v>816</v>
      </c>
      <c r="CZ21">
        <v>137</v>
      </c>
      <c r="DA21">
        <v>26</v>
      </c>
      <c r="DB21">
        <v>76.649635036500001</v>
      </c>
      <c r="DC21">
        <v>278</v>
      </c>
      <c r="DD21">
        <v>31</v>
      </c>
      <c r="DE21">
        <v>140.11870503599999</v>
      </c>
      <c r="DF21">
        <v>135.1612903226</v>
      </c>
      <c r="DH21" t="s">
        <v>405</v>
      </c>
      <c r="DI21" t="s">
        <v>786</v>
      </c>
      <c r="DJ21" t="s">
        <v>790</v>
      </c>
      <c r="DK21">
        <v>102</v>
      </c>
      <c r="DL21">
        <v>14</v>
      </c>
      <c r="DM21">
        <v>72.401960784300002</v>
      </c>
      <c r="DN21">
        <v>180</v>
      </c>
      <c r="DO21">
        <v>16</v>
      </c>
      <c r="DP21">
        <v>149.62222222220001</v>
      </c>
      <c r="DQ21">
        <v>146.0625</v>
      </c>
    </row>
    <row r="22" spans="2:121" x14ac:dyDescent="0.2">
      <c r="B22" t="s">
        <v>115</v>
      </c>
      <c r="C22">
        <v>24482</v>
      </c>
      <c r="D22">
        <v>21195</v>
      </c>
      <c r="F22" t="s">
        <v>47</v>
      </c>
      <c r="G22">
        <v>1343</v>
      </c>
      <c r="H22">
        <v>282.46314221889997</v>
      </c>
      <c r="I22">
        <v>1858</v>
      </c>
      <c r="J22">
        <v>511</v>
      </c>
      <c r="K22">
        <v>2719</v>
      </c>
      <c r="L22">
        <v>1646</v>
      </c>
      <c r="M22">
        <v>330</v>
      </c>
      <c r="N22">
        <v>252</v>
      </c>
      <c r="O22">
        <v>622</v>
      </c>
      <c r="P22">
        <v>483</v>
      </c>
      <c r="Q22">
        <v>0</v>
      </c>
      <c r="R22">
        <v>3</v>
      </c>
      <c r="AH22" t="s">
        <v>426</v>
      </c>
      <c r="AI22">
        <v>1265</v>
      </c>
      <c r="AJ22">
        <v>296.94782608700001</v>
      </c>
      <c r="AK22">
        <v>1255</v>
      </c>
      <c r="AL22">
        <v>273</v>
      </c>
      <c r="AM22">
        <v>1723</v>
      </c>
      <c r="AN22">
        <v>1023</v>
      </c>
      <c r="AO22">
        <v>591</v>
      </c>
      <c r="AP22">
        <v>472</v>
      </c>
      <c r="AQ22">
        <v>300</v>
      </c>
      <c r="AR22">
        <v>163</v>
      </c>
      <c r="AS22">
        <v>193</v>
      </c>
      <c r="AT22">
        <v>2</v>
      </c>
      <c r="AV22" t="s">
        <v>432</v>
      </c>
      <c r="AW22">
        <v>104</v>
      </c>
      <c r="AX22">
        <v>41.298076923099998</v>
      </c>
      <c r="AY22">
        <v>230</v>
      </c>
      <c r="AZ22">
        <v>7</v>
      </c>
      <c r="BA22">
        <v>190</v>
      </c>
      <c r="BB22">
        <v>3</v>
      </c>
      <c r="BC22">
        <v>2</v>
      </c>
      <c r="BD22">
        <v>2</v>
      </c>
      <c r="BE22">
        <v>9</v>
      </c>
      <c r="BF22">
        <v>4</v>
      </c>
      <c r="BG22">
        <v>121</v>
      </c>
      <c r="BH22">
        <v>39</v>
      </c>
      <c r="BJ22" t="s">
        <v>400</v>
      </c>
      <c r="BK22" t="s">
        <v>400</v>
      </c>
      <c r="BL22">
        <v>57397</v>
      </c>
      <c r="BM22">
        <v>17302</v>
      </c>
      <c r="BN22" s="156">
        <v>112.9942505706</v>
      </c>
      <c r="BO22">
        <v>139941</v>
      </c>
      <c r="BP22">
        <v>11409</v>
      </c>
      <c r="BQ22">
        <v>180.5185542479</v>
      </c>
      <c r="BR22">
        <v>168.68253133490001</v>
      </c>
      <c r="BS22">
        <v>69213</v>
      </c>
      <c r="BT22">
        <v>24711</v>
      </c>
      <c r="BU22">
        <v>125.7912675364</v>
      </c>
      <c r="BV22">
        <v>163435</v>
      </c>
      <c r="BW22">
        <v>13792</v>
      </c>
      <c r="BX22">
        <v>188.2804295286</v>
      </c>
      <c r="BY22">
        <v>179.2085266821</v>
      </c>
      <c r="CA22" t="s">
        <v>411</v>
      </c>
      <c r="CB22" t="s">
        <v>824</v>
      </c>
      <c r="CC22" t="s">
        <v>1031</v>
      </c>
      <c r="CD22">
        <v>5739</v>
      </c>
      <c r="CE22">
        <v>1380</v>
      </c>
      <c r="CF22">
        <v>97.9926816519</v>
      </c>
      <c r="CG22">
        <v>13840</v>
      </c>
      <c r="CH22">
        <v>1102</v>
      </c>
      <c r="CI22">
        <v>144.2181358382</v>
      </c>
      <c r="CJ22">
        <v>141.2386569873</v>
      </c>
      <c r="CL22" t="s">
        <v>411</v>
      </c>
      <c r="CM22" t="s">
        <v>799</v>
      </c>
      <c r="CN22" t="s">
        <v>804</v>
      </c>
      <c r="CO22">
        <v>269</v>
      </c>
      <c r="CP22">
        <v>11</v>
      </c>
      <c r="CQ22">
        <v>49.576208178400002</v>
      </c>
      <c r="CR22">
        <v>1477</v>
      </c>
      <c r="CS22">
        <v>111</v>
      </c>
      <c r="CT22">
        <v>52.110358835500001</v>
      </c>
      <c r="CU22">
        <v>48.162162162199998</v>
      </c>
      <c r="CW22" t="s">
        <v>411</v>
      </c>
      <c r="CX22" t="s">
        <v>812</v>
      </c>
      <c r="CY22" t="s">
        <v>817</v>
      </c>
      <c r="CZ22">
        <v>42</v>
      </c>
      <c r="DA22">
        <v>6</v>
      </c>
      <c r="DB22">
        <v>67.380952381</v>
      </c>
      <c r="DC22">
        <v>152</v>
      </c>
      <c r="DD22">
        <v>10</v>
      </c>
      <c r="DE22">
        <v>130.06578947369999</v>
      </c>
      <c r="DF22">
        <v>126.2</v>
      </c>
      <c r="DH22" t="s">
        <v>411</v>
      </c>
      <c r="DI22" t="s">
        <v>786</v>
      </c>
      <c r="DJ22" t="s">
        <v>791</v>
      </c>
      <c r="DK22">
        <v>17</v>
      </c>
      <c r="DL22">
        <v>4</v>
      </c>
      <c r="DM22">
        <v>82.588235294100002</v>
      </c>
      <c r="DN22">
        <v>81</v>
      </c>
      <c r="DO22">
        <v>5</v>
      </c>
      <c r="DP22">
        <v>151.30864197529999</v>
      </c>
      <c r="DQ22">
        <v>169.8</v>
      </c>
    </row>
    <row r="23" spans="2:121" x14ac:dyDescent="0.2">
      <c r="B23" t="s">
        <v>116</v>
      </c>
      <c r="C23">
        <v>1338</v>
      </c>
      <c r="D23">
        <v>339</v>
      </c>
      <c r="F23" t="s">
        <v>46</v>
      </c>
      <c r="G23">
        <v>228</v>
      </c>
      <c r="H23">
        <v>78.4122807018</v>
      </c>
      <c r="I23">
        <v>899</v>
      </c>
      <c r="J23">
        <v>214</v>
      </c>
      <c r="K23">
        <v>682</v>
      </c>
      <c r="L23">
        <v>44</v>
      </c>
      <c r="M23">
        <v>42</v>
      </c>
      <c r="N23">
        <v>11</v>
      </c>
      <c r="O23">
        <v>43</v>
      </c>
      <c r="P23">
        <v>20</v>
      </c>
      <c r="Q23">
        <v>0</v>
      </c>
      <c r="R23">
        <v>1</v>
      </c>
      <c r="AH23" t="s">
        <v>386</v>
      </c>
      <c r="AI23">
        <v>6992</v>
      </c>
      <c r="AJ23">
        <v>500.88744279180003</v>
      </c>
      <c r="AK23">
        <v>6866</v>
      </c>
      <c r="AL23">
        <v>2791</v>
      </c>
      <c r="AM23">
        <v>9038</v>
      </c>
      <c r="AN23">
        <v>6450</v>
      </c>
      <c r="AO23">
        <v>1129</v>
      </c>
      <c r="AP23">
        <v>951</v>
      </c>
      <c r="AQ23">
        <v>6386</v>
      </c>
      <c r="AR23">
        <v>5519</v>
      </c>
      <c r="AS23">
        <v>228</v>
      </c>
      <c r="AT23">
        <v>8</v>
      </c>
      <c r="AV23" t="s">
        <v>83</v>
      </c>
      <c r="AW23">
        <v>166</v>
      </c>
      <c r="AX23">
        <v>43.066265060200003</v>
      </c>
      <c r="AY23">
        <v>427</v>
      </c>
      <c r="AZ23">
        <v>23</v>
      </c>
      <c r="BA23">
        <v>320</v>
      </c>
      <c r="BB23">
        <v>34</v>
      </c>
      <c r="BC23">
        <v>2</v>
      </c>
      <c r="BD23">
        <v>2</v>
      </c>
      <c r="BE23">
        <v>21</v>
      </c>
      <c r="BF23">
        <v>10</v>
      </c>
      <c r="BG23">
        <v>283</v>
      </c>
      <c r="BH23">
        <v>73</v>
      </c>
      <c r="BJ23" t="s">
        <v>588</v>
      </c>
      <c r="BK23" t="s">
        <v>400</v>
      </c>
      <c r="BL23">
        <v>4145</v>
      </c>
      <c r="BM23">
        <v>1172</v>
      </c>
      <c r="BN23" s="156">
        <v>106.6137515078</v>
      </c>
      <c r="BO23">
        <v>10739</v>
      </c>
      <c r="BP23">
        <v>880</v>
      </c>
      <c r="BQ23">
        <v>159.97504423129999</v>
      </c>
      <c r="BR23">
        <v>132.8409090909</v>
      </c>
      <c r="BS23">
        <v>5724</v>
      </c>
      <c r="BT23">
        <v>2179</v>
      </c>
      <c r="BU23">
        <v>131.67470300490001</v>
      </c>
      <c r="BV23">
        <v>13379</v>
      </c>
      <c r="BW23">
        <v>1254</v>
      </c>
      <c r="BX23">
        <v>171.27842140670001</v>
      </c>
      <c r="BY23">
        <v>159.75757575759999</v>
      </c>
      <c r="CA23" t="s">
        <v>407</v>
      </c>
      <c r="CB23" t="s">
        <v>824</v>
      </c>
      <c r="CC23" t="s">
        <v>1032</v>
      </c>
      <c r="CD23">
        <v>5840</v>
      </c>
      <c r="CE23">
        <v>1832</v>
      </c>
      <c r="CF23">
        <v>111.098630137</v>
      </c>
      <c r="CG23">
        <v>18386</v>
      </c>
      <c r="CH23">
        <v>1572</v>
      </c>
      <c r="CI23">
        <v>178.28581529420001</v>
      </c>
      <c r="CJ23">
        <v>150.18638676840001</v>
      </c>
      <c r="CL23" t="s">
        <v>407</v>
      </c>
      <c r="CM23" t="s">
        <v>799</v>
      </c>
      <c r="CN23" t="s">
        <v>805</v>
      </c>
      <c r="CO23">
        <v>330</v>
      </c>
      <c r="CP23">
        <v>31</v>
      </c>
      <c r="CQ23">
        <v>55.8151515152</v>
      </c>
      <c r="CR23">
        <v>2510</v>
      </c>
      <c r="CS23">
        <v>165</v>
      </c>
      <c r="CT23">
        <v>54.306772908399999</v>
      </c>
      <c r="CU23">
        <v>55.915151515200002</v>
      </c>
      <c r="CW23" t="s">
        <v>407</v>
      </c>
      <c r="CX23" t="s">
        <v>812</v>
      </c>
      <c r="CY23" t="s">
        <v>818</v>
      </c>
      <c r="CZ23">
        <v>124</v>
      </c>
      <c r="DA23">
        <v>24</v>
      </c>
      <c r="DB23">
        <v>74.5161290323</v>
      </c>
      <c r="DC23">
        <v>332</v>
      </c>
      <c r="DD23">
        <v>31</v>
      </c>
      <c r="DE23">
        <v>127.3614457831</v>
      </c>
      <c r="DF23">
        <v>126.4193548387</v>
      </c>
      <c r="DH23" t="s">
        <v>407</v>
      </c>
      <c r="DI23" t="s">
        <v>786</v>
      </c>
      <c r="DJ23" t="s">
        <v>792</v>
      </c>
      <c r="DK23">
        <v>127</v>
      </c>
      <c r="DL23">
        <v>26</v>
      </c>
      <c r="DM23">
        <v>83.039370078700003</v>
      </c>
      <c r="DN23">
        <v>361</v>
      </c>
      <c r="DO23">
        <v>24</v>
      </c>
      <c r="DP23">
        <v>170.22160664820001</v>
      </c>
      <c r="DQ23">
        <v>146.2916666667</v>
      </c>
    </row>
    <row r="24" spans="2:121" x14ac:dyDescent="0.2">
      <c r="B24" t="s">
        <v>110</v>
      </c>
      <c r="C24">
        <v>57</v>
      </c>
      <c r="D24">
        <v>55</v>
      </c>
      <c r="F24" t="s">
        <v>42</v>
      </c>
      <c r="G24">
        <v>11209</v>
      </c>
      <c r="H24">
        <v>293.60397894549999</v>
      </c>
      <c r="I24">
        <v>9842</v>
      </c>
      <c r="J24">
        <v>3037</v>
      </c>
      <c r="K24">
        <v>18763</v>
      </c>
      <c r="L24">
        <v>12063</v>
      </c>
      <c r="M24">
        <v>1667</v>
      </c>
      <c r="N24">
        <v>1203</v>
      </c>
      <c r="O24">
        <v>1912</v>
      </c>
      <c r="P24">
        <v>1416</v>
      </c>
      <c r="Q24">
        <v>2</v>
      </c>
      <c r="R24">
        <v>56</v>
      </c>
      <c r="T24" t="s">
        <v>664</v>
      </c>
      <c r="U24" t="s">
        <v>315</v>
      </c>
      <c r="V24" t="s">
        <v>139</v>
      </c>
      <c r="W24" t="s">
        <v>222</v>
      </c>
      <c r="X24" t="s">
        <v>223</v>
      </c>
      <c r="Y24" t="s">
        <v>224</v>
      </c>
      <c r="Z24" t="s">
        <v>225</v>
      </c>
      <c r="AA24" t="s">
        <v>226</v>
      </c>
      <c r="AB24" t="s">
        <v>227</v>
      </c>
      <c r="AC24" t="s">
        <v>228</v>
      </c>
      <c r="AD24" t="s">
        <v>229</v>
      </c>
      <c r="AE24" t="s">
        <v>230</v>
      </c>
      <c r="AF24" t="s">
        <v>231</v>
      </c>
      <c r="AH24" t="s">
        <v>381</v>
      </c>
      <c r="AI24">
        <v>5843</v>
      </c>
      <c r="AJ24">
        <v>423.16515488620001</v>
      </c>
      <c r="AK24">
        <v>4700</v>
      </c>
      <c r="AL24">
        <v>1591</v>
      </c>
      <c r="AM24">
        <v>8105</v>
      </c>
      <c r="AN24">
        <v>5237</v>
      </c>
      <c r="AO24">
        <v>2204</v>
      </c>
      <c r="AP24">
        <v>1832</v>
      </c>
      <c r="AQ24">
        <v>1264</v>
      </c>
      <c r="AR24">
        <v>1011</v>
      </c>
      <c r="AS24">
        <v>401</v>
      </c>
      <c r="AT24">
        <v>11</v>
      </c>
      <c r="AV24" t="s">
        <v>413</v>
      </c>
      <c r="AW24">
        <v>134</v>
      </c>
      <c r="AX24">
        <v>50.134328358200001</v>
      </c>
      <c r="AY24">
        <v>237</v>
      </c>
      <c r="AZ24">
        <v>10</v>
      </c>
      <c r="BA24">
        <v>236</v>
      </c>
      <c r="BB24">
        <v>20</v>
      </c>
      <c r="BC24">
        <v>2</v>
      </c>
      <c r="BD24">
        <v>2</v>
      </c>
      <c r="BE24">
        <v>18</v>
      </c>
      <c r="BF24">
        <v>7</v>
      </c>
      <c r="BG24">
        <v>193</v>
      </c>
      <c r="BH24">
        <v>45</v>
      </c>
      <c r="BJ24" t="s">
        <v>652</v>
      </c>
      <c r="BK24" t="s">
        <v>400</v>
      </c>
      <c r="BL24">
        <v>977</v>
      </c>
      <c r="BM24">
        <v>251</v>
      </c>
      <c r="BN24" s="156">
        <v>94.934493347</v>
      </c>
      <c r="BO24">
        <v>2659</v>
      </c>
      <c r="BP24">
        <v>201</v>
      </c>
      <c r="BQ24">
        <v>139.1865362918</v>
      </c>
      <c r="BR24">
        <v>124.1890547264</v>
      </c>
      <c r="BS24">
        <v>1875</v>
      </c>
      <c r="BT24">
        <v>944</v>
      </c>
      <c r="BU24">
        <v>154.06453333330001</v>
      </c>
      <c r="BV24">
        <v>4650</v>
      </c>
      <c r="BW24">
        <v>409</v>
      </c>
      <c r="BX24">
        <v>175.74193548389999</v>
      </c>
      <c r="BY24">
        <v>181.54278728610001</v>
      </c>
      <c r="CA24" t="s">
        <v>410</v>
      </c>
      <c r="CB24" t="s">
        <v>824</v>
      </c>
      <c r="CC24" t="s">
        <v>1033</v>
      </c>
      <c r="CD24">
        <v>2311</v>
      </c>
      <c r="CE24">
        <v>384</v>
      </c>
      <c r="CF24">
        <v>83.720467330199995</v>
      </c>
      <c r="CG24">
        <v>5200</v>
      </c>
      <c r="CH24">
        <v>468</v>
      </c>
      <c r="CI24">
        <v>121.2819230769</v>
      </c>
      <c r="CJ24">
        <v>124.0405982906</v>
      </c>
      <c r="CL24" t="s">
        <v>410</v>
      </c>
      <c r="CM24" t="s">
        <v>799</v>
      </c>
      <c r="CN24" t="s">
        <v>806</v>
      </c>
      <c r="CO24">
        <v>118</v>
      </c>
      <c r="CP24">
        <v>5</v>
      </c>
      <c r="CQ24">
        <v>53.5</v>
      </c>
      <c r="CR24">
        <v>568</v>
      </c>
      <c r="CS24">
        <v>39</v>
      </c>
      <c r="CT24">
        <v>59.330985915500001</v>
      </c>
      <c r="CU24">
        <v>56.128205128200001</v>
      </c>
      <c r="CW24" t="s">
        <v>410</v>
      </c>
      <c r="CX24" t="s">
        <v>812</v>
      </c>
      <c r="CY24" t="s">
        <v>819</v>
      </c>
      <c r="CZ24">
        <v>31</v>
      </c>
      <c r="DA24">
        <v>2</v>
      </c>
      <c r="DB24">
        <v>51.741935483900001</v>
      </c>
      <c r="DC24">
        <v>147</v>
      </c>
      <c r="DD24">
        <v>8</v>
      </c>
      <c r="DE24">
        <v>107.9387755102</v>
      </c>
      <c r="DF24">
        <v>89.25</v>
      </c>
      <c r="DH24" t="s">
        <v>410</v>
      </c>
      <c r="DI24" t="s">
        <v>786</v>
      </c>
      <c r="DJ24" t="s">
        <v>793</v>
      </c>
      <c r="DK24">
        <v>60</v>
      </c>
      <c r="DL24">
        <v>15</v>
      </c>
      <c r="DM24">
        <v>78.716666666699993</v>
      </c>
      <c r="DN24">
        <v>222</v>
      </c>
      <c r="DO24">
        <v>13</v>
      </c>
      <c r="DP24">
        <v>152.42342342340001</v>
      </c>
      <c r="DQ24">
        <v>136.1538461538</v>
      </c>
    </row>
    <row r="25" spans="2:121" x14ac:dyDescent="0.2">
      <c r="B25" t="s">
        <v>108</v>
      </c>
      <c r="C25">
        <v>55</v>
      </c>
      <c r="D25">
        <v>55</v>
      </c>
      <c r="F25" t="s">
        <v>82</v>
      </c>
      <c r="G25">
        <v>12542</v>
      </c>
      <c r="H25">
        <v>308.05166640089999</v>
      </c>
      <c r="I25">
        <v>18897</v>
      </c>
      <c r="J25">
        <v>6914</v>
      </c>
      <c r="K25">
        <v>15385</v>
      </c>
      <c r="L25">
        <v>9196</v>
      </c>
      <c r="M25">
        <v>1428</v>
      </c>
      <c r="N25">
        <v>1103</v>
      </c>
      <c r="O25">
        <v>3268</v>
      </c>
      <c r="P25">
        <v>1823</v>
      </c>
      <c r="Q25">
        <v>2</v>
      </c>
      <c r="R25">
        <v>232</v>
      </c>
      <c r="T25" t="s">
        <v>395</v>
      </c>
      <c r="U25">
        <v>69710</v>
      </c>
      <c r="V25">
        <v>337.80469086210002</v>
      </c>
      <c r="W25">
        <v>75037</v>
      </c>
      <c r="X25">
        <v>27053</v>
      </c>
      <c r="Y25">
        <v>94506</v>
      </c>
      <c r="Z25">
        <v>57321</v>
      </c>
      <c r="AA25">
        <v>12009</v>
      </c>
      <c r="AB25">
        <v>8950</v>
      </c>
      <c r="AC25">
        <v>28221</v>
      </c>
      <c r="AD25">
        <v>20275</v>
      </c>
      <c r="AE25">
        <v>105</v>
      </c>
      <c r="AF25">
        <v>1204</v>
      </c>
      <c r="AH25" t="s">
        <v>405</v>
      </c>
      <c r="AI25">
        <v>3695</v>
      </c>
      <c r="AJ25">
        <v>267.64276048710002</v>
      </c>
      <c r="AK25">
        <v>8487</v>
      </c>
      <c r="AL25">
        <v>2524</v>
      </c>
      <c r="AM25">
        <v>6964</v>
      </c>
      <c r="AN25">
        <v>3586</v>
      </c>
      <c r="AO25">
        <v>852</v>
      </c>
      <c r="AP25">
        <v>727</v>
      </c>
      <c r="AQ25">
        <v>1289</v>
      </c>
      <c r="AR25">
        <v>853</v>
      </c>
      <c r="AS25">
        <v>35</v>
      </c>
      <c r="AT25">
        <v>201</v>
      </c>
      <c r="AV25" t="s">
        <v>417</v>
      </c>
      <c r="AW25">
        <v>787</v>
      </c>
      <c r="AX25">
        <v>43.081321473999999</v>
      </c>
      <c r="AY25">
        <v>1866</v>
      </c>
      <c r="AZ25">
        <v>68</v>
      </c>
      <c r="BA25">
        <v>1343</v>
      </c>
      <c r="BB25">
        <v>96</v>
      </c>
      <c r="BC25">
        <v>20</v>
      </c>
      <c r="BD25">
        <v>19</v>
      </c>
      <c r="BE25">
        <v>66</v>
      </c>
      <c r="BF25">
        <v>39</v>
      </c>
      <c r="BG25">
        <v>908</v>
      </c>
      <c r="BH25">
        <v>314</v>
      </c>
      <c r="BJ25" t="s">
        <v>591</v>
      </c>
      <c r="BK25" t="s">
        <v>400</v>
      </c>
      <c r="BL25">
        <v>5686</v>
      </c>
      <c r="BM25">
        <v>1793</v>
      </c>
      <c r="BN25" s="156">
        <v>109.7120998945</v>
      </c>
      <c r="BO25">
        <v>17196</v>
      </c>
      <c r="BP25">
        <v>1538</v>
      </c>
      <c r="BQ25">
        <v>184.0058734589</v>
      </c>
      <c r="BR25">
        <v>153.21586475940001</v>
      </c>
      <c r="BS25">
        <v>5778</v>
      </c>
      <c r="BT25">
        <v>1863</v>
      </c>
      <c r="BU25">
        <v>110.65835929390001</v>
      </c>
      <c r="BV25">
        <v>17966</v>
      </c>
      <c r="BW25">
        <v>1593</v>
      </c>
      <c r="BX25">
        <v>185.94962707339999</v>
      </c>
      <c r="BY25">
        <v>155.143126177</v>
      </c>
      <c r="CA25" t="s">
        <v>429</v>
      </c>
      <c r="CB25" t="s">
        <v>824</v>
      </c>
      <c r="CC25" t="s">
        <v>1034</v>
      </c>
      <c r="CD25">
        <v>700</v>
      </c>
      <c r="CE25">
        <v>181</v>
      </c>
      <c r="CF25">
        <v>97.13</v>
      </c>
      <c r="CG25">
        <v>2002</v>
      </c>
      <c r="CH25">
        <v>123</v>
      </c>
      <c r="CI25">
        <v>134.4340659341</v>
      </c>
      <c r="CJ25">
        <v>129.58536585370001</v>
      </c>
      <c r="CL25" t="s">
        <v>429</v>
      </c>
      <c r="CM25" t="s">
        <v>799</v>
      </c>
      <c r="CN25" t="s">
        <v>807</v>
      </c>
      <c r="CO25">
        <v>30</v>
      </c>
      <c r="CP25">
        <v>1</v>
      </c>
      <c r="CQ25">
        <v>53.633333333300001</v>
      </c>
      <c r="CR25">
        <v>180</v>
      </c>
      <c r="CS25">
        <v>21</v>
      </c>
      <c r="CT25">
        <v>48.888888888899999</v>
      </c>
      <c r="CU25">
        <v>50.095238095200003</v>
      </c>
      <c r="CW25" t="s">
        <v>429</v>
      </c>
      <c r="CX25" t="s">
        <v>812</v>
      </c>
      <c r="CY25" t="s">
        <v>820</v>
      </c>
      <c r="CZ25">
        <v>15</v>
      </c>
      <c r="DA25">
        <v>0</v>
      </c>
      <c r="DB25">
        <v>49.8</v>
      </c>
      <c r="DC25">
        <v>33</v>
      </c>
      <c r="DD25">
        <v>5</v>
      </c>
      <c r="DE25">
        <v>134.5757575758</v>
      </c>
      <c r="DF25">
        <v>93</v>
      </c>
      <c r="DH25" t="s">
        <v>429</v>
      </c>
      <c r="DI25" t="s">
        <v>786</v>
      </c>
      <c r="DJ25" t="s">
        <v>794</v>
      </c>
      <c r="DK25">
        <v>5</v>
      </c>
      <c r="DL25">
        <v>1</v>
      </c>
      <c r="DM25">
        <v>99</v>
      </c>
      <c r="DN25">
        <v>23</v>
      </c>
      <c r="DO25">
        <v>2</v>
      </c>
      <c r="DP25">
        <v>182.73913043479999</v>
      </c>
      <c r="DQ25">
        <v>163</v>
      </c>
    </row>
    <row r="26" spans="2:121" x14ac:dyDescent="0.2">
      <c r="B26" t="s">
        <v>99</v>
      </c>
      <c r="C26">
        <v>114418</v>
      </c>
      <c r="D26">
        <v>55043</v>
      </c>
      <c r="F26" t="s">
        <v>38</v>
      </c>
      <c r="G26">
        <v>5307</v>
      </c>
      <c r="H26">
        <v>457.41869229320002</v>
      </c>
      <c r="I26">
        <v>3742</v>
      </c>
      <c r="J26">
        <v>1337</v>
      </c>
      <c r="K26">
        <v>6811</v>
      </c>
      <c r="L26">
        <v>4706</v>
      </c>
      <c r="M26">
        <v>2104</v>
      </c>
      <c r="N26">
        <v>1924</v>
      </c>
      <c r="O26">
        <v>862</v>
      </c>
      <c r="P26">
        <v>748</v>
      </c>
      <c r="Q26">
        <v>2</v>
      </c>
      <c r="R26">
        <v>9</v>
      </c>
      <c r="T26" t="s">
        <v>400</v>
      </c>
      <c r="U26">
        <v>50397</v>
      </c>
      <c r="V26">
        <v>355.42587852449998</v>
      </c>
      <c r="W26">
        <v>56951</v>
      </c>
      <c r="X26">
        <v>17169</v>
      </c>
      <c r="Y26">
        <v>73007</v>
      </c>
      <c r="Z26">
        <v>42861</v>
      </c>
      <c r="AA26">
        <v>10333</v>
      </c>
      <c r="AB26">
        <v>8419</v>
      </c>
      <c r="AC26">
        <v>21321</v>
      </c>
      <c r="AD26">
        <v>15369</v>
      </c>
      <c r="AE26">
        <v>165</v>
      </c>
      <c r="AF26">
        <v>1214</v>
      </c>
      <c r="AH26" t="s">
        <v>411</v>
      </c>
      <c r="AI26">
        <v>3881</v>
      </c>
      <c r="AJ26">
        <v>93.545220303999997</v>
      </c>
      <c r="AK26">
        <v>5580</v>
      </c>
      <c r="AL26">
        <v>1387</v>
      </c>
      <c r="AM26">
        <v>6385</v>
      </c>
      <c r="AN26">
        <v>1599</v>
      </c>
      <c r="AO26">
        <v>394</v>
      </c>
      <c r="AP26">
        <v>244</v>
      </c>
      <c r="AQ26">
        <v>1117</v>
      </c>
      <c r="AR26">
        <v>439</v>
      </c>
      <c r="AS26">
        <v>4</v>
      </c>
      <c r="AT26">
        <v>4</v>
      </c>
      <c r="AV26" t="s">
        <v>407</v>
      </c>
      <c r="AW26">
        <v>428</v>
      </c>
      <c r="AX26">
        <v>54.922897196299999</v>
      </c>
      <c r="AY26">
        <v>405</v>
      </c>
      <c r="AZ26">
        <v>23</v>
      </c>
      <c r="BA26">
        <v>705</v>
      </c>
      <c r="BB26">
        <v>61</v>
      </c>
      <c r="BC26">
        <v>3</v>
      </c>
      <c r="BD26">
        <v>3</v>
      </c>
      <c r="BE26">
        <v>43</v>
      </c>
      <c r="BF26">
        <v>13</v>
      </c>
      <c r="BG26">
        <v>373</v>
      </c>
      <c r="BH26">
        <v>53</v>
      </c>
      <c r="BJ26" t="s">
        <v>597</v>
      </c>
      <c r="BK26" t="s">
        <v>400</v>
      </c>
      <c r="BL26">
        <v>7687</v>
      </c>
      <c r="BM26">
        <v>2154</v>
      </c>
      <c r="BN26" s="156">
        <v>107.7138025237</v>
      </c>
      <c r="BO26">
        <v>16751</v>
      </c>
      <c r="BP26">
        <v>1398</v>
      </c>
      <c r="BQ26">
        <v>153.74174676140001</v>
      </c>
      <c r="BR26">
        <v>158.60443490700001</v>
      </c>
      <c r="BS26">
        <v>11195</v>
      </c>
      <c r="BT26">
        <v>4163</v>
      </c>
      <c r="BU26">
        <v>128.12612773559999</v>
      </c>
      <c r="BV26">
        <v>25302</v>
      </c>
      <c r="BW26">
        <v>2183</v>
      </c>
      <c r="BX26">
        <v>179.6653228994</v>
      </c>
      <c r="BY26">
        <v>178.238204306</v>
      </c>
      <c r="CA26" t="s">
        <v>401</v>
      </c>
      <c r="CB26" t="s">
        <v>824</v>
      </c>
      <c r="CC26" t="s">
        <v>1035</v>
      </c>
      <c r="CD26">
        <v>8745</v>
      </c>
      <c r="CE26">
        <v>2588</v>
      </c>
      <c r="CF26">
        <v>114.37049742710001</v>
      </c>
      <c r="CG26">
        <v>22906</v>
      </c>
      <c r="CH26">
        <v>1635</v>
      </c>
      <c r="CI26">
        <v>164.3592071946</v>
      </c>
      <c r="CJ26">
        <v>147.59877675839999</v>
      </c>
      <c r="CL26" t="s">
        <v>401</v>
      </c>
      <c r="CM26" t="s">
        <v>799</v>
      </c>
      <c r="CN26" t="s">
        <v>808</v>
      </c>
      <c r="CO26">
        <v>600</v>
      </c>
      <c r="CP26">
        <v>55</v>
      </c>
      <c r="CQ26">
        <v>57.601666666699998</v>
      </c>
      <c r="CR26">
        <v>4236</v>
      </c>
      <c r="CS26">
        <v>303</v>
      </c>
      <c r="CT26">
        <v>58.528092540099998</v>
      </c>
      <c r="CU26">
        <v>53.511551155100001</v>
      </c>
      <c r="CW26" t="s">
        <v>401</v>
      </c>
      <c r="CX26" t="s">
        <v>812</v>
      </c>
      <c r="CY26" t="s">
        <v>821</v>
      </c>
      <c r="CZ26">
        <v>165</v>
      </c>
      <c r="DA26">
        <v>21</v>
      </c>
      <c r="DB26">
        <v>71.860606060600006</v>
      </c>
      <c r="DC26">
        <v>395</v>
      </c>
      <c r="DD26">
        <v>28</v>
      </c>
      <c r="DE26">
        <v>134.6075949367</v>
      </c>
      <c r="DF26">
        <v>112.8928571429</v>
      </c>
      <c r="DH26" t="s">
        <v>401</v>
      </c>
      <c r="DI26" t="s">
        <v>786</v>
      </c>
      <c r="DJ26" t="s">
        <v>795</v>
      </c>
      <c r="DK26">
        <v>101</v>
      </c>
      <c r="DL26">
        <v>23</v>
      </c>
      <c r="DM26">
        <v>89.752475247500001</v>
      </c>
      <c r="DN26">
        <v>279</v>
      </c>
      <c r="DO26">
        <v>24</v>
      </c>
      <c r="DP26">
        <v>146.73118279569999</v>
      </c>
      <c r="DQ26">
        <v>164.125</v>
      </c>
    </row>
    <row r="27" spans="2:121" x14ac:dyDescent="0.2">
      <c r="B27" t="s">
        <v>112</v>
      </c>
      <c r="C27">
        <v>25995</v>
      </c>
      <c r="D27">
        <v>11626</v>
      </c>
      <c r="F27" t="s">
        <v>58</v>
      </c>
      <c r="G27">
        <v>725</v>
      </c>
      <c r="H27">
        <v>154.77241379309999</v>
      </c>
      <c r="I27">
        <v>1225</v>
      </c>
      <c r="J27">
        <v>505</v>
      </c>
      <c r="K27">
        <v>956</v>
      </c>
      <c r="L27">
        <v>399</v>
      </c>
      <c r="M27">
        <v>204</v>
      </c>
      <c r="N27">
        <v>149</v>
      </c>
      <c r="O27">
        <v>652</v>
      </c>
      <c r="P27">
        <v>428</v>
      </c>
      <c r="Q27">
        <v>326</v>
      </c>
      <c r="R27">
        <v>127</v>
      </c>
      <c r="T27" t="s">
        <v>379</v>
      </c>
      <c r="U27">
        <v>75615</v>
      </c>
      <c r="V27">
        <v>372.03302254840003</v>
      </c>
      <c r="W27">
        <v>79850</v>
      </c>
      <c r="X27">
        <v>29036</v>
      </c>
      <c r="Y27">
        <v>102971</v>
      </c>
      <c r="Z27">
        <v>66208</v>
      </c>
      <c r="AA27">
        <v>15593</v>
      </c>
      <c r="AB27">
        <v>12222</v>
      </c>
      <c r="AC27">
        <v>32631</v>
      </c>
      <c r="AD27">
        <v>23335</v>
      </c>
      <c r="AE27">
        <v>4474</v>
      </c>
      <c r="AF27">
        <v>163</v>
      </c>
      <c r="AH27" t="s">
        <v>399</v>
      </c>
      <c r="AI27">
        <v>5147</v>
      </c>
      <c r="AJ27">
        <v>361.38216436760001</v>
      </c>
      <c r="AK27">
        <v>4603</v>
      </c>
      <c r="AL27">
        <v>2035</v>
      </c>
      <c r="AM27">
        <v>6843</v>
      </c>
      <c r="AN27">
        <v>4685</v>
      </c>
      <c r="AO27">
        <v>826</v>
      </c>
      <c r="AP27">
        <v>671</v>
      </c>
      <c r="AQ27">
        <v>2447</v>
      </c>
      <c r="AR27">
        <v>1963</v>
      </c>
      <c r="AS27">
        <v>17</v>
      </c>
      <c r="AT27">
        <v>142</v>
      </c>
      <c r="AV27" t="s">
        <v>384</v>
      </c>
      <c r="AW27">
        <v>419</v>
      </c>
      <c r="AX27">
        <v>93.424821002399995</v>
      </c>
      <c r="AY27">
        <v>487</v>
      </c>
      <c r="AZ27">
        <v>84</v>
      </c>
      <c r="BA27">
        <v>639</v>
      </c>
      <c r="BB27">
        <v>155</v>
      </c>
      <c r="BC27">
        <v>18</v>
      </c>
      <c r="BD27">
        <v>18</v>
      </c>
      <c r="BE27">
        <v>208</v>
      </c>
      <c r="BF27">
        <v>23</v>
      </c>
      <c r="BG27">
        <v>83</v>
      </c>
      <c r="BH27">
        <v>157</v>
      </c>
      <c r="BJ27" t="s">
        <v>656</v>
      </c>
      <c r="BK27" t="s">
        <v>400</v>
      </c>
      <c r="BL27">
        <v>2748</v>
      </c>
      <c r="BM27">
        <v>745</v>
      </c>
      <c r="BN27" s="156">
        <v>103.8777292576</v>
      </c>
      <c r="BO27">
        <v>5849</v>
      </c>
      <c r="BP27">
        <v>443</v>
      </c>
      <c r="BQ27">
        <v>183.35886476319999</v>
      </c>
      <c r="BR27">
        <v>158.90519187359999</v>
      </c>
      <c r="BS27">
        <v>2732</v>
      </c>
      <c r="BT27">
        <v>725</v>
      </c>
      <c r="BU27">
        <v>102.53660322109999</v>
      </c>
      <c r="BV27">
        <v>5728</v>
      </c>
      <c r="BW27">
        <v>429</v>
      </c>
      <c r="BX27">
        <v>183.7915502793</v>
      </c>
      <c r="BY27">
        <v>156.71328671329999</v>
      </c>
      <c r="CA27" t="s">
        <v>430</v>
      </c>
      <c r="CB27" t="s">
        <v>824</v>
      </c>
      <c r="CC27" t="s">
        <v>1036</v>
      </c>
      <c r="CD27">
        <v>1013</v>
      </c>
      <c r="CE27">
        <v>261</v>
      </c>
      <c r="CF27">
        <v>96.115498519200003</v>
      </c>
      <c r="CG27">
        <v>2786</v>
      </c>
      <c r="CH27">
        <v>212</v>
      </c>
      <c r="CI27">
        <v>137.33165829149999</v>
      </c>
      <c r="CJ27">
        <v>122.7358490566</v>
      </c>
      <c r="CL27" t="s">
        <v>430</v>
      </c>
      <c r="CM27" t="s">
        <v>799</v>
      </c>
      <c r="CN27" t="s">
        <v>809</v>
      </c>
      <c r="CO27">
        <v>58</v>
      </c>
      <c r="CP27">
        <v>3</v>
      </c>
      <c r="CQ27">
        <v>53.637931034499999</v>
      </c>
      <c r="CR27">
        <v>308</v>
      </c>
      <c r="CS27">
        <v>19</v>
      </c>
      <c r="CT27">
        <v>52.2694805195</v>
      </c>
      <c r="CU27">
        <v>56.894736842100002</v>
      </c>
      <c r="CW27" t="s">
        <v>430</v>
      </c>
      <c r="CX27" t="s">
        <v>812</v>
      </c>
      <c r="CY27" t="s">
        <v>822</v>
      </c>
      <c r="CZ27">
        <v>11</v>
      </c>
      <c r="DA27">
        <v>2</v>
      </c>
      <c r="DB27">
        <v>72.363636363599994</v>
      </c>
      <c r="DC27">
        <v>37</v>
      </c>
      <c r="DD27">
        <v>4</v>
      </c>
      <c r="DE27">
        <v>127</v>
      </c>
      <c r="DF27">
        <v>109.75</v>
      </c>
      <c r="DH27" t="s">
        <v>430</v>
      </c>
      <c r="DI27" t="s">
        <v>786</v>
      </c>
      <c r="DJ27" t="s">
        <v>796</v>
      </c>
      <c r="DK27">
        <v>8</v>
      </c>
      <c r="DL27">
        <v>1</v>
      </c>
      <c r="DM27">
        <v>54.5</v>
      </c>
      <c r="DN27">
        <v>22</v>
      </c>
      <c r="DO27">
        <v>1</v>
      </c>
      <c r="DP27">
        <v>160.3181818182</v>
      </c>
      <c r="DQ27">
        <v>96</v>
      </c>
    </row>
    <row r="28" spans="2:121" x14ac:dyDescent="0.2">
      <c r="B28" t="s">
        <v>20</v>
      </c>
      <c r="C28">
        <v>343</v>
      </c>
      <c r="D28">
        <v>218</v>
      </c>
      <c r="F28" t="s">
        <v>72</v>
      </c>
      <c r="G28">
        <v>15973</v>
      </c>
      <c r="H28">
        <v>400.6757027484</v>
      </c>
      <c r="I28">
        <v>11465</v>
      </c>
      <c r="J28">
        <v>4032</v>
      </c>
      <c r="K28">
        <v>18832</v>
      </c>
      <c r="L28">
        <v>13177</v>
      </c>
      <c r="M28">
        <v>2795</v>
      </c>
      <c r="N28">
        <v>2283</v>
      </c>
      <c r="O28">
        <v>5227</v>
      </c>
      <c r="P28">
        <v>4494</v>
      </c>
      <c r="Q28">
        <v>6</v>
      </c>
      <c r="R28">
        <v>23</v>
      </c>
      <c r="T28" t="s">
        <v>8</v>
      </c>
      <c r="U28">
        <v>8883</v>
      </c>
      <c r="V28">
        <v>401.92783969380002</v>
      </c>
      <c r="W28">
        <v>4536</v>
      </c>
      <c r="X28">
        <v>2181</v>
      </c>
      <c r="Y28">
        <v>10753</v>
      </c>
      <c r="Z28">
        <v>7990</v>
      </c>
      <c r="AA28">
        <v>1297</v>
      </c>
      <c r="AB28">
        <v>1133</v>
      </c>
      <c r="AC28">
        <v>16851</v>
      </c>
      <c r="AD28">
        <v>8219</v>
      </c>
      <c r="AE28">
        <v>352</v>
      </c>
      <c r="AF28">
        <v>138</v>
      </c>
      <c r="AH28" t="s">
        <v>407</v>
      </c>
      <c r="AI28">
        <v>5969</v>
      </c>
      <c r="AJ28">
        <v>271.95962472780002</v>
      </c>
      <c r="AK28">
        <v>6008</v>
      </c>
      <c r="AL28">
        <v>1879</v>
      </c>
      <c r="AM28">
        <v>8983</v>
      </c>
      <c r="AN28">
        <v>5375</v>
      </c>
      <c r="AO28">
        <v>2269</v>
      </c>
      <c r="AP28">
        <v>2109</v>
      </c>
      <c r="AQ28">
        <v>6167</v>
      </c>
      <c r="AR28">
        <v>4533</v>
      </c>
      <c r="AS28">
        <v>20</v>
      </c>
      <c r="AT28">
        <v>133</v>
      </c>
      <c r="AV28" t="s">
        <v>391</v>
      </c>
      <c r="AW28">
        <v>1238</v>
      </c>
      <c r="AX28">
        <v>112.09693053309999</v>
      </c>
      <c r="AY28">
        <v>1068</v>
      </c>
      <c r="AZ28">
        <v>188</v>
      </c>
      <c r="BA28">
        <v>1945</v>
      </c>
      <c r="BB28">
        <v>532</v>
      </c>
      <c r="BC28">
        <v>70</v>
      </c>
      <c r="BD28">
        <v>70</v>
      </c>
      <c r="BE28">
        <v>455</v>
      </c>
      <c r="BF28">
        <v>84</v>
      </c>
      <c r="BG28">
        <v>218</v>
      </c>
      <c r="BH28">
        <v>345</v>
      </c>
      <c r="BJ28" t="s">
        <v>550</v>
      </c>
      <c r="BK28" t="s">
        <v>379</v>
      </c>
      <c r="BL28">
        <v>6267</v>
      </c>
      <c r="BM28">
        <v>2695</v>
      </c>
      <c r="BN28" s="156">
        <v>150.44790170740001</v>
      </c>
      <c r="BO28">
        <v>14049</v>
      </c>
      <c r="BP28">
        <v>1441</v>
      </c>
      <c r="BQ28">
        <v>263.583884974</v>
      </c>
      <c r="BR28">
        <v>239.48299791810001</v>
      </c>
      <c r="BS28">
        <v>2763</v>
      </c>
      <c r="BT28">
        <v>533</v>
      </c>
      <c r="BU28">
        <v>87.300398118000004</v>
      </c>
      <c r="BV28">
        <v>4124</v>
      </c>
      <c r="BW28">
        <v>542</v>
      </c>
      <c r="BX28">
        <v>269.86978661490002</v>
      </c>
      <c r="BY28">
        <v>202.94649446490001</v>
      </c>
      <c r="CA28" t="s">
        <v>406</v>
      </c>
      <c r="CB28" t="s">
        <v>824</v>
      </c>
      <c r="CC28" t="s">
        <v>1037</v>
      </c>
      <c r="CD28">
        <v>4148</v>
      </c>
      <c r="CE28">
        <v>1188</v>
      </c>
      <c r="CF28">
        <v>108.11427193830001</v>
      </c>
      <c r="CG28">
        <v>11081</v>
      </c>
      <c r="CH28">
        <v>893</v>
      </c>
      <c r="CI28">
        <v>160.48371085639999</v>
      </c>
      <c r="CJ28">
        <v>134.8409854423</v>
      </c>
      <c r="CL28" t="s">
        <v>406</v>
      </c>
      <c r="CM28" t="s">
        <v>799</v>
      </c>
      <c r="CN28" t="s">
        <v>810</v>
      </c>
      <c r="CO28">
        <v>245</v>
      </c>
      <c r="CP28">
        <v>11</v>
      </c>
      <c r="CQ28">
        <v>42.514285714300001</v>
      </c>
      <c r="CR28">
        <v>1687</v>
      </c>
      <c r="CS28">
        <v>131</v>
      </c>
      <c r="CT28">
        <v>42.677534084199998</v>
      </c>
      <c r="CU28">
        <v>43.893129770999998</v>
      </c>
      <c r="CW28" t="s">
        <v>406</v>
      </c>
      <c r="CX28" t="s">
        <v>812</v>
      </c>
      <c r="CY28" t="s">
        <v>823</v>
      </c>
      <c r="CZ28">
        <v>75</v>
      </c>
      <c r="DA28">
        <v>14</v>
      </c>
      <c r="DB28">
        <v>75.959999999999994</v>
      </c>
      <c r="DC28">
        <v>178</v>
      </c>
      <c r="DD28">
        <v>11</v>
      </c>
      <c r="DE28">
        <v>124.5674157303</v>
      </c>
      <c r="DF28">
        <v>135</v>
      </c>
      <c r="DH28" t="s">
        <v>406</v>
      </c>
      <c r="DI28" t="s">
        <v>786</v>
      </c>
      <c r="DJ28" t="s">
        <v>797</v>
      </c>
      <c r="DK28">
        <v>49</v>
      </c>
      <c r="DL28">
        <v>9</v>
      </c>
      <c r="DM28">
        <v>80.612244898</v>
      </c>
      <c r="DN28">
        <v>139</v>
      </c>
      <c r="DO28">
        <v>4</v>
      </c>
      <c r="DP28">
        <v>157.12230215829999</v>
      </c>
      <c r="DQ28">
        <v>129</v>
      </c>
    </row>
    <row r="29" spans="2:121" x14ac:dyDescent="0.2">
      <c r="B29" t="s">
        <v>91</v>
      </c>
      <c r="C29">
        <v>96811</v>
      </c>
      <c r="D29">
        <v>36936</v>
      </c>
      <c r="F29" t="s">
        <v>44</v>
      </c>
      <c r="G29">
        <v>1345</v>
      </c>
      <c r="H29">
        <v>127.1464684015</v>
      </c>
      <c r="I29">
        <v>2537</v>
      </c>
      <c r="J29">
        <v>681</v>
      </c>
      <c r="K29">
        <v>2245</v>
      </c>
      <c r="L29">
        <v>808</v>
      </c>
      <c r="M29">
        <v>207</v>
      </c>
      <c r="N29">
        <v>160</v>
      </c>
      <c r="O29">
        <v>2848</v>
      </c>
      <c r="P29">
        <v>1849</v>
      </c>
      <c r="Q29">
        <v>0</v>
      </c>
      <c r="R29">
        <v>13</v>
      </c>
      <c r="T29" t="s">
        <v>414</v>
      </c>
      <c r="U29">
        <v>77033</v>
      </c>
      <c r="V29">
        <v>370.49825399500003</v>
      </c>
      <c r="W29">
        <v>70133</v>
      </c>
      <c r="X29">
        <v>23987</v>
      </c>
      <c r="Y29">
        <v>103234</v>
      </c>
      <c r="Z29">
        <v>68484</v>
      </c>
      <c r="AA29">
        <v>15666</v>
      </c>
      <c r="AB29">
        <v>13337</v>
      </c>
      <c r="AC29">
        <v>29019</v>
      </c>
      <c r="AD29">
        <v>21707</v>
      </c>
      <c r="AE29">
        <v>78</v>
      </c>
      <c r="AF29">
        <v>596</v>
      </c>
      <c r="AH29" t="s">
        <v>428</v>
      </c>
      <c r="AI29">
        <v>1485</v>
      </c>
      <c r="AJ29">
        <v>189.6646464646</v>
      </c>
      <c r="AK29">
        <v>1011</v>
      </c>
      <c r="AL29">
        <v>189</v>
      </c>
      <c r="AM29">
        <v>1919</v>
      </c>
      <c r="AN29">
        <v>781</v>
      </c>
      <c r="AO29">
        <v>364</v>
      </c>
      <c r="AP29">
        <v>223</v>
      </c>
      <c r="AQ29">
        <v>189</v>
      </c>
      <c r="AR29">
        <v>87</v>
      </c>
      <c r="AS29">
        <v>1</v>
      </c>
      <c r="AT29">
        <v>7</v>
      </c>
      <c r="AV29" t="s">
        <v>428</v>
      </c>
      <c r="AW29">
        <v>25</v>
      </c>
      <c r="AX29">
        <v>33.36</v>
      </c>
      <c r="AY29">
        <v>61</v>
      </c>
      <c r="AZ29">
        <v>2</v>
      </c>
      <c r="BA29">
        <v>60</v>
      </c>
      <c r="BB29">
        <v>4</v>
      </c>
      <c r="BC29">
        <v>0</v>
      </c>
      <c r="BE29">
        <v>3</v>
      </c>
      <c r="BG29">
        <v>80</v>
      </c>
      <c r="BH29">
        <v>8</v>
      </c>
      <c r="BJ29" t="s">
        <v>529</v>
      </c>
      <c r="BK29" t="s">
        <v>379</v>
      </c>
      <c r="BL29">
        <v>3885</v>
      </c>
      <c r="BM29">
        <v>1348</v>
      </c>
      <c r="BN29" s="156">
        <v>128.89343629339999</v>
      </c>
      <c r="BO29">
        <v>8828</v>
      </c>
      <c r="BP29">
        <v>624</v>
      </c>
      <c r="BQ29">
        <v>224.3043724513</v>
      </c>
      <c r="BR29">
        <v>226.12179487180001</v>
      </c>
      <c r="BS29">
        <v>4214</v>
      </c>
      <c r="BT29">
        <v>1053</v>
      </c>
      <c r="BU29">
        <v>108.1888941623</v>
      </c>
      <c r="BV29">
        <v>7282</v>
      </c>
      <c r="BW29">
        <v>613</v>
      </c>
      <c r="BX29">
        <v>212.9990387256</v>
      </c>
      <c r="BY29">
        <v>196.71778140289999</v>
      </c>
      <c r="CA29" t="s">
        <v>400</v>
      </c>
      <c r="CB29" t="s">
        <v>824</v>
      </c>
      <c r="CD29">
        <v>56187</v>
      </c>
      <c r="CE29">
        <v>16960</v>
      </c>
      <c r="CF29">
        <v>113.3557762472</v>
      </c>
      <c r="CG29">
        <v>142595</v>
      </c>
      <c r="CH29">
        <v>11475</v>
      </c>
      <c r="CI29">
        <v>175.98150706550001</v>
      </c>
      <c r="CJ29">
        <v>163.3691503268</v>
      </c>
      <c r="CL29" t="s">
        <v>400</v>
      </c>
      <c r="CM29" t="s">
        <v>799</v>
      </c>
      <c r="CO29">
        <v>3514</v>
      </c>
      <c r="CP29">
        <v>250</v>
      </c>
      <c r="CQ29">
        <v>53.504837791699998</v>
      </c>
      <c r="CR29">
        <v>22851</v>
      </c>
      <c r="CS29">
        <v>1669</v>
      </c>
      <c r="CT29">
        <v>55.0981138681</v>
      </c>
      <c r="CU29">
        <v>50.890353505100002</v>
      </c>
      <c r="CW29" t="s">
        <v>400</v>
      </c>
      <c r="CX29" t="s">
        <v>812</v>
      </c>
      <c r="CZ29">
        <v>1002</v>
      </c>
      <c r="DA29">
        <v>165</v>
      </c>
      <c r="DB29">
        <v>72.847305389200002</v>
      </c>
      <c r="DC29">
        <v>2521</v>
      </c>
      <c r="DD29">
        <v>188</v>
      </c>
      <c r="DE29">
        <v>131.89448631499999</v>
      </c>
      <c r="DF29">
        <v>125.7340425532</v>
      </c>
      <c r="DH29" t="s">
        <v>400</v>
      </c>
      <c r="DI29" t="s">
        <v>786</v>
      </c>
      <c r="DK29">
        <v>857</v>
      </c>
      <c r="DL29">
        <v>158</v>
      </c>
      <c r="DM29">
        <v>79.149358226399997</v>
      </c>
      <c r="DN29">
        <v>2154</v>
      </c>
      <c r="DO29">
        <v>160</v>
      </c>
      <c r="DP29">
        <v>156.17548746520001</v>
      </c>
      <c r="DQ29">
        <v>144.74375000000001</v>
      </c>
    </row>
    <row r="30" spans="2:121" x14ac:dyDescent="0.2">
      <c r="B30" t="s">
        <v>120</v>
      </c>
      <c r="C30">
        <v>11922</v>
      </c>
      <c r="D30">
        <v>2096</v>
      </c>
      <c r="F30" t="s">
        <v>48</v>
      </c>
      <c r="G30">
        <v>1882</v>
      </c>
      <c r="H30">
        <v>221.4782146652</v>
      </c>
      <c r="I30">
        <v>2650</v>
      </c>
      <c r="J30">
        <v>950</v>
      </c>
      <c r="K30">
        <v>2441</v>
      </c>
      <c r="L30">
        <v>1258</v>
      </c>
      <c r="M30">
        <v>456</v>
      </c>
      <c r="N30">
        <v>411</v>
      </c>
      <c r="O30">
        <v>434</v>
      </c>
      <c r="P30">
        <v>284</v>
      </c>
      <c r="Q30">
        <v>0</v>
      </c>
      <c r="R30">
        <v>1</v>
      </c>
      <c r="T30" t="s">
        <v>390</v>
      </c>
      <c r="U30">
        <v>80252</v>
      </c>
      <c r="V30">
        <v>350.88199671040002</v>
      </c>
      <c r="W30">
        <v>83746</v>
      </c>
      <c r="X30">
        <v>29953</v>
      </c>
      <c r="Y30">
        <v>108415</v>
      </c>
      <c r="Z30">
        <v>71782</v>
      </c>
      <c r="AA30">
        <v>17667</v>
      </c>
      <c r="AB30">
        <v>14764</v>
      </c>
      <c r="AC30">
        <v>31376</v>
      </c>
      <c r="AD30">
        <v>21802</v>
      </c>
      <c r="AE30">
        <v>2079</v>
      </c>
      <c r="AF30">
        <v>1044</v>
      </c>
      <c r="AH30" t="s">
        <v>410</v>
      </c>
      <c r="AI30">
        <v>2041</v>
      </c>
      <c r="AJ30">
        <v>151.1450269476</v>
      </c>
      <c r="AK30">
        <v>2303</v>
      </c>
      <c r="AL30">
        <v>405</v>
      </c>
      <c r="AM30">
        <v>2817</v>
      </c>
      <c r="AN30">
        <v>914</v>
      </c>
      <c r="AO30">
        <v>602</v>
      </c>
      <c r="AP30">
        <v>492</v>
      </c>
      <c r="AQ30">
        <v>449</v>
      </c>
      <c r="AR30">
        <v>239</v>
      </c>
      <c r="AS30">
        <v>0</v>
      </c>
      <c r="AT30">
        <v>13</v>
      </c>
      <c r="AV30" t="s">
        <v>394</v>
      </c>
      <c r="AW30">
        <v>516</v>
      </c>
      <c r="AX30">
        <v>60.968992248100001</v>
      </c>
      <c r="AY30">
        <v>490</v>
      </c>
      <c r="AZ30">
        <v>23</v>
      </c>
      <c r="BA30">
        <v>802</v>
      </c>
      <c r="BB30">
        <v>79</v>
      </c>
      <c r="BC30">
        <v>5</v>
      </c>
      <c r="BD30">
        <v>5</v>
      </c>
      <c r="BE30">
        <v>49</v>
      </c>
      <c r="BF30">
        <v>12</v>
      </c>
      <c r="BG30">
        <v>360</v>
      </c>
      <c r="BH30">
        <v>50</v>
      </c>
      <c r="BJ30" t="s">
        <v>537</v>
      </c>
      <c r="BK30" t="s">
        <v>379</v>
      </c>
      <c r="BL30">
        <v>4884</v>
      </c>
      <c r="BM30">
        <v>1751</v>
      </c>
      <c r="BN30" s="156">
        <v>125.35032760030001</v>
      </c>
      <c r="BO30">
        <v>9565</v>
      </c>
      <c r="BP30">
        <v>1009</v>
      </c>
      <c r="BQ30">
        <v>216.93727130159999</v>
      </c>
      <c r="BR30">
        <v>181.56095143709999</v>
      </c>
      <c r="BS30">
        <v>3987</v>
      </c>
      <c r="BT30">
        <v>996</v>
      </c>
      <c r="BU30">
        <v>104.57336343119999</v>
      </c>
      <c r="BV30">
        <v>8489</v>
      </c>
      <c r="BW30">
        <v>821</v>
      </c>
      <c r="BX30">
        <v>217.27859582990001</v>
      </c>
      <c r="BY30">
        <v>168.4701583435</v>
      </c>
      <c r="CA30" t="s">
        <v>383</v>
      </c>
      <c r="CB30" t="s">
        <v>873</v>
      </c>
      <c r="CC30" t="s">
        <v>1003</v>
      </c>
      <c r="CD30">
        <v>2025</v>
      </c>
      <c r="CE30">
        <v>540</v>
      </c>
      <c r="CF30">
        <v>97.8395061728</v>
      </c>
      <c r="CG30">
        <v>4971</v>
      </c>
      <c r="CH30">
        <v>328</v>
      </c>
      <c r="CI30">
        <v>155.33051699859999</v>
      </c>
      <c r="CJ30">
        <v>144.55487804879999</v>
      </c>
      <c r="CL30" t="s">
        <v>383</v>
      </c>
      <c r="CM30" t="s">
        <v>842</v>
      </c>
      <c r="CN30" t="s">
        <v>841</v>
      </c>
      <c r="CO30">
        <v>115</v>
      </c>
      <c r="CP30">
        <v>14</v>
      </c>
      <c r="CQ30">
        <v>77.121739130400002</v>
      </c>
      <c r="CR30">
        <v>645</v>
      </c>
      <c r="CS30">
        <v>50</v>
      </c>
      <c r="CT30">
        <v>74.469767441900004</v>
      </c>
      <c r="CU30">
        <v>66.86</v>
      </c>
      <c r="CW30" t="s">
        <v>383</v>
      </c>
      <c r="CX30" t="s">
        <v>858</v>
      </c>
      <c r="CY30" t="s">
        <v>857</v>
      </c>
      <c r="CZ30">
        <v>43</v>
      </c>
      <c r="DA30">
        <v>3</v>
      </c>
      <c r="DB30">
        <v>63.581395348800001</v>
      </c>
      <c r="DC30">
        <v>109</v>
      </c>
      <c r="DD30">
        <v>4</v>
      </c>
      <c r="DE30">
        <v>143.30275229360001</v>
      </c>
      <c r="DF30">
        <v>49.25</v>
      </c>
      <c r="DH30" t="s">
        <v>383</v>
      </c>
      <c r="DI30" t="s">
        <v>826</v>
      </c>
      <c r="DJ30" t="s">
        <v>825</v>
      </c>
      <c r="DK30">
        <v>28</v>
      </c>
      <c r="DL30">
        <v>0</v>
      </c>
      <c r="DM30">
        <v>54.535714285700003</v>
      </c>
      <c r="DN30">
        <v>56</v>
      </c>
      <c r="DO30">
        <v>4</v>
      </c>
      <c r="DP30">
        <v>116.3928571429</v>
      </c>
      <c r="DQ30">
        <v>153.5</v>
      </c>
    </row>
    <row r="31" spans="2:121" x14ac:dyDescent="0.2">
      <c r="B31" t="s">
        <v>128</v>
      </c>
      <c r="C31">
        <v>436</v>
      </c>
      <c r="D31">
        <v>15</v>
      </c>
      <c r="F31" t="s">
        <v>76</v>
      </c>
      <c r="G31">
        <v>14946</v>
      </c>
      <c r="H31">
        <v>417.06777733169997</v>
      </c>
      <c r="I31">
        <v>8889</v>
      </c>
      <c r="J31">
        <v>3294</v>
      </c>
      <c r="K31">
        <v>20700</v>
      </c>
      <c r="L31">
        <v>15147</v>
      </c>
      <c r="M31">
        <v>4502</v>
      </c>
      <c r="N31">
        <v>4047</v>
      </c>
      <c r="O31">
        <v>7492</v>
      </c>
      <c r="P31">
        <v>5897</v>
      </c>
      <c r="Q31">
        <v>0</v>
      </c>
      <c r="R31">
        <v>144</v>
      </c>
      <c r="T31" t="s">
        <v>471</v>
      </c>
      <c r="U31">
        <v>361890</v>
      </c>
      <c r="V31">
        <v>358.84367901849998</v>
      </c>
      <c r="W31">
        <v>370253</v>
      </c>
      <c r="X31">
        <v>129379</v>
      </c>
      <c r="Y31">
        <v>492886</v>
      </c>
      <c r="Z31">
        <v>314646</v>
      </c>
      <c r="AA31">
        <v>72565</v>
      </c>
      <c r="AB31">
        <v>58825</v>
      </c>
      <c r="AC31">
        <v>159419</v>
      </c>
      <c r="AD31">
        <v>110707</v>
      </c>
      <c r="AE31">
        <v>7253</v>
      </c>
      <c r="AF31">
        <v>4359</v>
      </c>
      <c r="AH31" t="s">
        <v>423</v>
      </c>
      <c r="AI31">
        <v>4415</v>
      </c>
      <c r="AJ31">
        <v>440.8761041903</v>
      </c>
      <c r="AK31">
        <v>4324</v>
      </c>
      <c r="AL31">
        <v>1639</v>
      </c>
      <c r="AM31">
        <v>5698</v>
      </c>
      <c r="AN31">
        <v>4039</v>
      </c>
      <c r="AO31">
        <v>479</v>
      </c>
      <c r="AP31">
        <v>431</v>
      </c>
      <c r="AQ31">
        <v>1444</v>
      </c>
      <c r="AR31">
        <v>990</v>
      </c>
      <c r="AS31">
        <v>8</v>
      </c>
      <c r="AT31">
        <v>104</v>
      </c>
      <c r="AV31" t="s">
        <v>415</v>
      </c>
      <c r="AW31">
        <v>54</v>
      </c>
      <c r="AX31">
        <v>41.666666666700003</v>
      </c>
      <c r="AY31">
        <v>133</v>
      </c>
      <c r="AZ31">
        <v>6</v>
      </c>
      <c r="BA31">
        <v>108</v>
      </c>
      <c r="BB31">
        <v>5</v>
      </c>
      <c r="BC31">
        <v>0</v>
      </c>
      <c r="BE31">
        <v>9</v>
      </c>
      <c r="BF31">
        <v>2</v>
      </c>
      <c r="BG31">
        <v>140</v>
      </c>
      <c r="BH31">
        <v>21</v>
      </c>
      <c r="BJ31" t="s">
        <v>539</v>
      </c>
      <c r="BK31" t="s">
        <v>379</v>
      </c>
      <c r="BL31">
        <v>1974</v>
      </c>
      <c r="BM31">
        <v>514</v>
      </c>
      <c r="BN31" s="156">
        <v>96.008105369800006</v>
      </c>
      <c r="BO31">
        <v>4692</v>
      </c>
      <c r="BP31">
        <v>298</v>
      </c>
      <c r="BQ31">
        <v>154.0095907928</v>
      </c>
      <c r="BR31">
        <v>144.52348993289999</v>
      </c>
      <c r="BS31">
        <v>3223</v>
      </c>
      <c r="BT31">
        <v>1213</v>
      </c>
      <c r="BU31">
        <v>119.3468817872</v>
      </c>
      <c r="BV31">
        <v>7113</v>
      </c>
      <c r="BW31">
        <v>516</v>
      </c>
      <c r="BX31">
        <v>175.7685927176</v>
      </c>
      <c r="BY31">
        <v>177.32751937980001</v>
      </c>
      <c r="CA31" t="s">
        <v>433</v>
      </c>
      <c r="CB31" t="s">
        <v>873</v>
      </c>
      <c r="CC31" t="s">
        <v>1004</v>
      </c>
      <c r="CD31">
        <v>1025</v>
      </c>
      <c r="CE31">
        <v>420</v>
      </c>
      <c r="CF31">
        <v>142.70536585369999</v>
      </c>
      <c r="CG31">
        <v>2420</v>
      </c>
      <c r="CH31">
        <v>173</v>
      </c>
      <c r="CI31">
        <v>220.99008264459999</v>
      </c>
      <c r="CJ31">
        <v>237.323699422</v>
      </c>
      <c r="CL31" t="s">
        <v>433</v>
      </c>
      <c r="CM31" t="s">
        <v>842</v>
      </c>
      <c r="CN31" t="s">
        <v>843</v>
      </c>
      <c r="CO31">
        <v>40</v>
      </c>
      <c r="CP31">
        <v>8</v>
      </c>
      <c r="CQ31">
        <v>96.375</v>
      </c>
      <c r="CR31">
        <v>232</v>
      </c>
      <c r="CS31">
        <v>15</v>
      </c>
      <c r="CT31">
        <v>75.198275862100004</v>
      </c>
      <c r="CU31">
        <v>109.7333333333</v>
      </c>
      <c r="CW31" t="s">
        <v>433</v>
      </c>
      <c r="CX31" t="s">
        <v>858</v>
      </c>
      <c r="CY31" t="s">
        <v>859</v>
      </c>
      <c r="CZ31">
        <v>13</v>
      </c>
      <c r="DA31">
        <v>3</v>
      </c>
      <c r="DB31">
        <v>72</v>
      </c>
      <c r="DC31">
        <v>35</v>
      </c>
      <c r="DD31">
        <v>3</v>
      </c>
      <c r="DE31">
        <v>117.9714285714</v>
      </c>
      <c r="DF31">
        <v>136.6666666667</v>
      </c>
      <c r="DH31" t="s">
        <v>433</v>
      </c>
      <c r="DI31" t="s">
        <v>826</v>
      </c>
      <c r="DJ31" t="s">
        <v>827</v>
      </c>
      <c r="DK31">
        <v>17</v>
      </c>
      <c r="DL31">
        <v>3</v>
      </c>
      <c r="DM31">
        <v>83.764705882399994</v>
      </c>
      <c r="DN31">
        <v>28</v>
      </c>
      <c r="DO31">
        <v>3</v>
      </c>
      <c r="DP31">
        <v>114.3928571429</v>
      </c>
      <c r="DQ31">
        <v>150.6666666667</v>
      </c>
    </row>
    <row r="32" spans="2:121" x14ac:dyDescent="0.2">
      <c r="B32" t="s">
        <v>96</v>
      </c>
      <c r="C32">
        <v>163</v>
      </c>
      <c r="D32">
        <v>108</v>
      </c>
      <c r="F32" t="s">
        <v>68</v>
      </c>
      <c r="G32">
        <v>4065</v>
      </c>
      <c r="H32">
        <v>437.01599015990001</v>
      </c>
      <c r="I32">
        <v>4644</v>
      </c>
      <c r="J32">
        <v>1893</v>
      </c>
      <c r="K32">
        <v>5533</v>
      </c>
      <c r="L32">
        <v>3998</v>
      </c>
      <c r="M32">
        <v>500</v>
      </c>
      <c r="N32">
        <v>401</v>
      </c>
      <c r="O32">
        <v>1264</v>
      </c>
      <c r="P32">
        <v>1017</v>
      </c>
      <c r="Q32">
        <v>1</v>
      </c>
      <c r="R32">
        <v>3</v>
      </c>
      <c r="AH32" t="s">
        <v>425</v>
      </c>
      <c r="AI32">
        <v>2241</v>
      </c>
      <c r="AJ32">
        <v>351.6796073182</v>
      </c>
      <c r="AK32">
        <v>1242</v>
      </c>
      <c r="AL32">
        <v>355</v>
      </c>
      <c r="AM32">
        <v>2712</v>
      </c>
      <c r="AN32">
        <v>1787</v>
      </c>
      <c r="AO32">
        <v>659</v>
      </c>
      <c r="AP32">
        <v>619</v>
      </c>
      <c r="AQ32">
        <v>150</v>
      </c>
      <c r="AR32">
        <v>88</v>
      </c>
      <c r="AS32">
        <v>83</v>
      </c>
      <c r="AT32">
        <v>3</v>
      </c>
      <c r="AV32" t="s">
        <v>425</v>
      </c>
      <c r="AW32">
        <v>84</v>
      </c>
      <c r="AX32">
        <v>106.5833333333</v>
      </c>
      <c r="AY32">
        <v>96</v>
      </c>
      <c r="AZ32">
        <v>14</v>
      </c>
      <c r="BA32">
        <v>125</v>
      </c>
      <c r="BB32">
        <v>41</v>
      </c>
      <c r="BC32">
        <v>2</v>
      </c>
      <c r="BD32">
        <v>2</v>
      </c>
      <c r="BE32">
        <v>43</v>
      </c>
      <c r="BF32">
        <v>5</v>
      </c>
      <c r="BG32">
        <v>16</v>
      </c>
      <c r="BH32">
        <v>20</v>
      </c>
      <c r="BJ32" t="s">
        <v>554</v>
      </c>
      <c r="BK32" t="s">
        <v>379</v>
      </c>
      <c r="BL32">
        <v>2844</v>
      </c>
      <c r="BM32">
        <v>741</v>
      </c>
      <c r="BN32" s="156">
        <v>94.4599156118</v>
      </c>
      <c r="BO32">
        <v>6445</v>
      </c>
      <c r="BP32">
        <v>641</v>
      </c>
      <c r="BQ32">
        <v>147.89371605900001</v>
      </c>
      <c r="BR32">
        <v>133.67706708270001</v>
      </c>
      <c r="BS32">
        <v>4959</v>
      </c>
      <c r="BT32">
        <v>2108</v>
      </c>
      <c r="BU32">
        <v>139.95684613829999</v>
      </c>
      <c r="BV32">
        <v>13108</v>
      </c>
      <c r="BW32">
        <v>1286</v>
      </c>
      <c r="BX32">
        <v>182.0780439426</v>
      </c>
      <c r="BY32">
        <v>174.46967340590001</v>
      </c>
      <c r="CA32" t="s">
        <v>424</v>
      </c>
      <c r="CB32" t="s">
        <v>873</v>
      </c>
      <c r="CC32" t="s">
        <v>1005</v>
      </c>
      <c r="CD32">
        <v>568</v>
      </c>
      <c r="CE32">
        <v>232</v>
      </c>
      <c r="CF32">
        <v>137.2112676056</v>
      </c>
      <c r="CG32">
        <v>1176</v>
      </c>
      <c r="CH32">
        <v>97</v>
      </c>
      <c r="CI32">
        <v>217.71003401359999</v>
      </c>
      <c r="CJ32">
        <v>171.8762886598</v>
      </c>
      <c r="CL32" t="s">
        <v>424</v>
      </c>
      <c r="CM32" t="s">
        <v>842</v>
      </c>
      <c r="CN32" t="s">
        <v>844</v>
      </c>
      <c r="CO32">
        <v>29</v>
      </c>
      <c r="CP32">
        <v>3</v>
      </c>
      <c r="CQ32">
        <v>67.379310344800004</v>
      </c>
      <c r="CR32">
        <v>136</v>
      </c>
      <c r="CS32">
        <v>12</v>
      </c>
      <c r="CT32">
        <v>85.897058823500004</v>
      </c>
      <c r="CU32">
        <v>82.333333333300004</v>
      </c>
      <c r="CW32" t="s">
        <v>424</v>
      </c>
      <c r="CX32" t="s">
        <v>858</v>
      </c>
      <c r="CY32" t="s">
        <v>860</v>
      </c>
      <c r="CZ32">
        <v>10</v>
      </c>
      <c r="DA32">
        <v>3</v>
      </c>
      <c r="DB32">
        <v>77.3</v>
      </c>
      <c r="DC32">
        <v>38</v>
      </c>
      <c r="DD32">
        <v>1</v>
      </c>
      <c r="DE32">
        <v>142.7105263158</v>
      </c>
      <c r="DF32">
        <v>138</v>
      </c>
      <c r="DH32" t="s">
        <v>424</v>
      </c>
      <c r="DI32" t="s">
        <v>826</v>
      </c>
      <c r="DJ32" t="s">
        <v>828</v>
      </c>
      <c r="DK32">
        <v>18</v>
      </c>
      <c r="DL32">
        <v>2</v>
      </c>
      <c r="DM32">
        <v>60.611111111100001</v>
      </c>
      <c r="DN32">
        <v>22</v>
      </c>
      <c r="DO32">
        <v>4</v>
      </c>
      <c r="DP32">
        <v>127.6818181818</v>
      </c>
      <c r="DQ32">
        <v>139.25</v>
      </c>
    </row>
    <row r="33" spans="2:121" x14ac:dyDescent="0.2">
      <c r="B33" t="s">
        <v>22</v>
      </c>
      <c r="C33">
        <v>223564</v>
      </c>
      <c r="D33">
        <v>72891</v>
      </c>
      <c r="F33" t="s">
        <v>70</v>
      </c>
      <c r="G33">
        <v>786</v>
      </c>
      <c r="H33">
        <v>132.5928753181</v>
      </c>
      <c r="I33">
        <v>1968</v>
      </c>
      <c r="J33">
        <v>472</v>
      </c>
      <c r="K33">
        <v>2293</v>
      </c>
      <c r="L33">
        <v>643</v>
      </c>
      <c r="M33">
        <v>664</v>
      </c>
      <c r="N33">
        <v>226</v>
      </c>
      <c r="O33">
        <v>198</v>
      </c>
      <c r="P33">
        <v>145</v>
      </c>
      <c r="Q33">
        <v>0</v>
      </c>
      <c r="R33">
        <v>4</v>
      </c>
      <c r="AH33" t="s">
        <v>384</v>
      </c>
      <c r="AI33">
        <v>2400</v>
      </c>
      <c r="AJ33">
        <v>314.64249999999998</v>
      </c>
      <c r="AK33">
        <v>4561</v>
      </c>
      <c r="AL33">
        <v>1801</v>
      </c>
      <c r="AM33">
        <v>3693</v>
      </c>
      <c r="AN33">
        <v>2049</v>
      </c>
      <c r="AO33">
        <v>308</v>
      </c>
      <c r="AP33">
        <v>209</v>
      </c>
      <c r="AQ33">
        <v>1840</v>
      </c>
      <c r="AR33">
        <v>1229</v>
      </c>
      <c r="AS33">
        <v>407</v>
      </c>
      <c r="AT33">
        <v>7</v>
      </c>
      <c r="AV33" t="s">
        <v>436</v>
      </c>
      <c r="AW33">
        <v>199</v>
      </c>
      <c r="AX33">
        <v>43.758793969800003</v>
      </c>
      <c r="AY33">
        <v>452</v>
      </c>
      <c r="AZ33">
        <v>20</v>
      </c>
      <c r="BA33">
        <v>329</v>
      </c>
      <c r="BB33">
        <v>16</v>
      </c>
      <c r="BC33">
        <v>3</v>
      </c>
      <c r="BD33">
        <v>3</v>
      </c>
      <c r="BE33">
        <v>10</v>
      </c>
      <c r="BF33">
        <v>3</v>
      </c>
      <c r="BG33">
        <v>289</v>
      </c>
      <c r="BH33">
        <v>56</v>
      </c>
      <c r="BJ33" t="s">
        <v>639</v>
      </c>
      <c r="BK33" t="s">
        <v>379</v>
      </c>
      <c r="BL33">
        <v>1347</v>
      </c>
      <c r="BM33">
        <v>328</v>
      </c>
      <c r="BN33" s="156">
        <v>105.273199703</v>
      </c>
      <c r="BO33">
        <v>2865</v>
      </c>
      <c r="BP33">
        <v>256</v>
      </c>
      <c r="BQ33">
        <v>182.4523560209</v>
      </c>
      <c r="BR33">
        <v>158.765625</v>
      </c>
      <c r="BS33">
        <v>1554</v>
      </c>
      <c r="BT33">
        <v>509</v>
      </c>
      <c r="BU33">
        <v>125.1898326898</v>
      </c>
      <c r="BV33">
        <v>3461</v>
      </c>
      <c r="BW33">
        <v>314</v>
      </c>
      <c r="BX33">
        <v>196.4614273331</v>
      </c>
      <c r="BY33">
        <v>177.70700636940001</v>
      </c>
      <c r="CA33" t="s">
        <v>426</v>
      </c>
      <c r="CB33" t="s">
        <v>873</v>
      </c>
      <c r="CC33" t="s">
        <v>1006</v>
      </c>
      <c r="CD33">
        <v>1300</v>
      </c>
      <c r="CE33">
        <v>274</v>
      </c>
      <c r="CF33">
        <v>93.783846153799999</v>
      </c>
      <c r="CG33">
        <v>3286</v>
      </c>
      <c r="CH33">
        <v>233</v>
      </c>
      <c r="CI33">
        <v>124.736153378</v>
      </c>
      <c r="CJ33">
        <v>159.23175965670001</v>
      </c>
      <c r="CL33" t="s">
        <v>426</v>
      </c>
      <c r="CM33" t="s">
        <v>842</v>
      </c>
      <c r="CN33" t="s">
        <v>845</v>
      </c>
      <c r="CO33">
        <v>46</v>
      </c>
      <c r="CP33">
        <v>2</v>
      </c>
      <c r="CQ33">
        <v>55.5217391304</v>
      </c>
      <c r="CR33">
        <v>410</v>
      </c>
      <c r="CS33">
        <v>26</v>
      </c>
      <c r="CT33">
        <v>64.458536585399997</v>
      </c>
      <c r="CU33">
        <v>67.192307692300005</v>
      </c>
      <c r="CW33" t="s">
        <v>426</v>
      </c>
      <c r="CX33" t="s">
        <v>858</v>
      </c>
      <c r="CY33" t="s">
        <v>861</v>
      </c>
      <c r="CZ33">
        <v>14</v>
      </c>
      <c r="DA33">
        <v>4</v>
      </c>
      <c r="DB33">
        <v>78.214285714300004</v>
      </c>
      <c r="DC33">
        <v>55</v>
      </c>
      <c r="DD33">
        <v>7</v>
      </c>
      <c r="DE33">
        <v>129.2545454545</v>
      </c>
      <c r="DF33">
        <v>118</v>
      </c>
      <c r="DH33" t="s">
        <v>426</v>
      </c>
      <c r="DI33" t="s">
        <v>826</v>
      </c>
      <c r="DJ33" t="s">
        <v>829</v>
      </c>
      <c r="DK33">
        <v>6</v>
      </c>
      <c r="DL33">
        <v>0</v>
      </c>
      <c r="DM33">
        <v>60.833333333299997</v>
      </c>
      <c r="DN33">
        <v>29</v>
      </c>
      <c r="DO33">
        <v>3</v>
      </c>
      <c r="DP33">
        <v>122.82758620689999</v>
      </c>
      <c r="DQ33">
        <v>122.3333333333</v>
      </c>
    </row>
    <row r="34" spans="2:121" x14ac:dyDescent="0.2">
      <c r="B34" t="s">
        <v>92</v>
      </c>
      <c r="C34">
        <v>7</v>
      </c>
      <c r="D34">
        <v>1</v>
      </c>
      <c r="F34" t="s">
        <v>40</v>
      </c>
      <c r="G34">
        <v>5642</v>
      </c>
      <c r="H34">
        <v>498.17263381779998</v>
      </c>
      <c r="I34">
        <v>7683</v>
      </c>
      <c r="J34">
        <v>2924</v>
      </c>
      <c r="K34">
        <v>7474</v>
      </c>
      <c r="L34">
        <v>5522</v>
      </c>
      <c r="M34">
        <v>1410</v>
      </c>
      <c r="N34">
        <v>1308</v>
      </c>
      <c r="O34">
        <v>3066</v>
      </c>
      <c r="P34">
        <v>2555</v>
      </c>
      <c r="Q34">
        <v>0</v>
      </c>
      <c r="R34">
        <v>289</v>
      </c>
      <c r="AH34" t="s">
        <v>415</v>
      </c>
      <c r="AI34">
        <v>1962</v>
      </c>
      <c r="AJ34">
        <v>226.7054026504</v>
      </c>
      <c r="AK34">
        <v>3426</v>
      </c>
      <c r="AL34">
        <v>1225</v>
      </c>
      <c r="AM34">
        <v>2777</v>
      </c>
      <c r="AN34">
        <v>1379</v>
      </c>
      <c r="AO34">
        <v>230</v>
      </c>
      <c r="AP34">
        <v>160</v>
      </c>
      <c r="AQ34">
        <v>602</v>
      </c>
      <c r="AR34">
        <v>314</v>
      </c>
      <c r="AS34">
        <v>3</v>
      </c>
      <c r="AT34">
        <v>18</v>
      </c>
      <c r="AV34" t="s">
        <v>382</v>
      </c>
      <c r="AW34">
        <v>58</v>
      </c>
      <c r="AX34">
        <v>96.120689655199996</v>
      </c>
      <c r="AY34">
        <v>117</v>
      </c>
      <c r="AZ34">
        <v>17</v>
      </c>
      <c r="BA34">
        <v>98</v>
      </c>
      <c r="BB34">
        <v>23</v>
      </c>
      <c r="BC34">
        <v>6</v>
      </c>
      <c r="BD34">
        <v>6</v>
      </c>
      <c r="BE34">
        <v>37</v>
      </c>
      <c r="BF34">
        <v>3</v>
      </c>
      <c r="BG34">
        <v>20</v>
      </c>
      <c r="BH34">
        <v>21</v>
      </c>
      <c r="BJ34" t="s">
        <v>535</v>
      </c>
      <c r="BK34" t="s">
        <v>379</v>
      </c>
      <c r="BL34">
        <v>5063</v>
      </c>
      <c r="BM34">
        <v>2144</v>
      </c>
      <c r="BN34" s="156">
        <v>138.91428007109999</v>
      </c>
      <c r="BO34">
        <v>12095</v>
      </c>
      <c r="BP34">
        <v>1263</v>
      </c>
      <c r="BQ34">
        <v>211.34105002070001</v>
      </c>
      <c r="BR34">
        <v>190.13064133020001</v>
      </c>
      <c r="BS34">
        <v>4270</v>
      </c>
      <c r="BT34">
        <v>1423</v>
      </c>
      <c r="BU34">
        <v>113.7231850117</v>
      </c>
      <c r="BV34">
        <v>10222</v>
      </c>
      <c r="BW34">
        <v>990</v>
      </c>
      <c r="BX34">
        <v>201.04656622970001</v>
      </c>
      <c r="BY34">
        <v>164.27373737369999</v>
      </c>
      <c r="CA34" t="s">
        <v>386</v>
      </c>
      <c r="CB34" t="s">
        <v>873</v>
      </c>
      <c r="CC34" t="s">
        <v>1007</v>
      </c>
      <c r="CD34">
        <v>6526</v>
      </c>
      <c r="CE34">
        <v>2737</v>
      </c>
      <c r="CF34">
        <v>146.48406374499999</v>
      </c>
      <c r="CG34">
        <v>15310</v>
      </c>
      <c r="CH34">
        <v>1515</v>
      </c>
      <c r="CI34">
        <v>244.6485303723</v>
      </c>
      <c r="CJ34">
        <v>227.8712871287</v>
      </c>
      <c r="CL34" t="s">
        <v>386</v>
      </c>
      <c r="CM34" t="s">
        <v>842</v>
      </c>
      <c r="CN34" t="s">
        <v>846</v>
      </c>
      <c r="CO34">
        <v>289</v>
      </c>
      <c r="CP34">
        <v>50</v>
      </c>
      <c r="CQ34">
        <v>81.705882352900005</v>
      </c>
      <c r="CR34">
        <v>1351</v>
      </c>
      <c r="CS34">
        <v>119</v>
      </c>
      <c r="CT34">
        <v>86.823094004400005</v>
      </c>
      <c r="CU34">
        <v>80.025210083999994</v>
      </c>
      <c r="CW34" t="s">
        <v>386</v>
      </c>
      <c r="CX34" t="s">
        <v>858</v>
      </c>
      <c r="CY34" t="s">
        <v>862</v>
      </c>
      <c r="CZ34">
        <v>187</v>
      </c>
      <c r="DA34">
        <v>27</v>
      </c>
      <c r="DB34">
        <v>71.6096256684</v>
      </c>
      <c r="DC34">
        <v>425</v>
      </c>
      <c r="DD34">
        <v>28</v>
      </c>
      <c r="DE34">
        <v>143.5011764706</v>
      </c>
      <c r="DF34">
        <v>146.42857142860001</v>
      </c>
      <c r="DH34" t="s">
        <v>386</v>
      </c>
      <c r="DI34" t="s">
        <v>826</v>
      </c>
      <c r="DJ34" t="s">
        <v>830</v>
      </c>
      <c r="DK34">
        <v>250</v>
      </c>
      <c r="DL34">
        <v>46</v>
      </c>
      <c r="DM34">
        <v>85.3</v>
      </c>
      <c r="DN34">
        <v>476</v>
      </c>
      <c r="DO34">
        <v>35</v>
      </c>
      <c r="DP34">
        <v>149.46218487389999</v>
      </c>
      <c r="DQ34">
        <v>143.19999999999999</v>
      </c>
    </row>
    <row r="35" spans="2:121" x14ac:dyDescent="0.2">
      <c r="B35" t="s">
        <v>105</v>
      </c>
      <c r="C35">
        <v>701</v>
      </c>
      <c r="D35">
        <v>624</v>
      </c>
      <c r="F35" t="s">
        <v>74</v>
      </c>
      <c r="G35">
        <v>9318</v>
      </c>
      <c r="H35">
        <v>297.12620734059999</v>
      </c>
      <c r="I35">
        <v>12195</v>
      </c>
      <c r="J35">
        <v>2637</v>
      </c>
      <c r="K35">
        <v>15161</v>
      </c>
      <c r="L35">
        <v>7339</v>
      </c>
      <c r="M35">
        <v>1737</v>
      </c>
      <c r="N35">
        <v>1160</v>
      </c>
      <c r="O35">
        <v>1930</v>
      </c>
      <c r="P35">
        <v>1390</v>
      </c>
      <c r="Q35">
        <v>0</v>
      </c>
      <c r="R35">
        <v>68</v>
      </c>
      <c r="AH35" t="s">
        <v>63</v>
      </c>
      <c r="AI35">
        <v>5714</v>
      </c>
      <c r="AJ35">
        <v>255.63423171159999</v>
      </c>
      <c r="AK35">
        <v>10247</v>
      </c>
      <c r="AL35">
        <v>4049</v>
      </c>
      <c r="AM35">
        <v>8990</v>
      </c>
      <c r="AN35">
        <v>4557</v>
      </c>
      <c r="AO35">
        <v>1399</v>
      </c>
      <c r="AP35">
        <v>916</v>
      </c>
      <c r="AQ35">
        <v>1431</v>
      </c>
      <c r="AR35">
        <v>835</v>
      </c>
      <c r="AS35">
        <v>796</v>
      </c>
      <c r="AT35">
        <v>16</v>
      </c>
      <c r="AV35" t="s">
        <v>405</v>
      </c>
      <c r="AW35">
        <v>472</v>
      </c>
      <c r="AX35">
        <v>65.495762711899999</v>
      </c>
      <c r="AY35">
        <v>778</v>
      </c>
      <c r="AZ35">
        <v>72</v>
      </c>
      <c r="BA35">
        <v>832</v>
      </c>
      <c r="BB35">
        <v>80</v>
      </c>
      <c r="BC35">
        <v>8</v>
      </c>
      <c r="BD35">
        <v>8</v>
      </c>
      <c r="BE35">
        <v>58</v>
      </c>
      <c r="BF35">
        <v>13</v>
      </c>
      <c r="BG35">
        <v>438</v>
      </c>
      <c r="BH35">
        <v>69</v>
      </c>
      <c r="BJ35" t="s">
        <v>541</v>
      </c>
      <c r="BK35" t="s">
        <v>379</v>
      </c>
      <c r="BL35">
        <v>2817</v>
      </c>
      <c r="BM35">
        <v>976</v>
      </c>
      <c r="BN35" s="156">
        <v>113.3624423145</v>
      </c>
      <c r="BO35">
        <v>5244</v>
      </c>
      <c r="BP35">
        <v>388</v>
      </c>
      <c r="BQ35">
        <v>167.6481693364</v>
      </c>
      <c r="BR35">
        <v>178.62886597939999</v>
      </c>
      <c r="BS35">
        <v>2683</v>
      </c>
      <c r="BT35">
        <v>985</v>
      </c>
      <c r="BU35">
        <v>117.4308609765</v>
      </c>
      <c r="BV35">
        <v>5494</v>
      </c>
      <c r="BW35">
        <v>389</v>
      </c>
      <c r="BX35">
        <v>168.69821623589999</v>
      </c>
      <c r="BY35">
        <v>181.3367609254</v>
      </c>
      <c r="CA35" t="s">
        <v>381</v>
      </c>
      <c r="CB35" t="s">
        <v>873</v>
      </c>
      <c r="CC35" t="s">
        <v>1008</v>
      </c>
      <c r="CD35">
        <v>4726</v>
      </c>
      <c r="CE35">
        <v>1573</v>
      </c>
      <c r="CF35">
        <v>124.02814219210001</v>
      </c>
      <c r="CG35">
        <v>11056</v>
      </c>
      <c r="CH35">
        <v>769</v>
      </c>
      <c r="CI35">
        <v>201.6444464544</v>
      </c>
      <c r="CJ35">
        <v>198.69960988299999</v>
      </c>
      <c r="CL35" t="s">
        <v>381</v>
      </c>
      <c r="CM35" t="s">
        <v>842</v>
      </c>
      <c r="CN35" t="s">
        <v>847</v>
      </c>
      <c r="CO35">
        <v>206</v>
      </c>
      <c r="CP35">
        <v>24</v>
      </c>
      <c r="CQ35">
        <v>70.699029126200003</v>
      </c>
      <c r="CR35">
        <v>1224</v>
      </c>
      <c r="CS35">
        <v>92</v>
      </c>
      <c r="CT35">
        <v>69.051470588200004</v>
      </c>
      <c r="CU35">
        <v>65</v>
      </c>
      <c r="CW35" t="s">
        <v>381</v>
      </c>
      <c r="CX35" t="s">
        <v>858</v>
      </c>
      <c r="CY35" t="s">
        <v>863</v>
      </c>
      <c r="CZ35">
        <v>71</v>
      </c>
      <c r="DA35">
        <v>12</v>
      </c>
      <c r="DB35">
        <v>68.7887323944</v>
      </c>
      <c r="DC35">
        <v>169</v>
      </c>
      <c r="DD35">
        <v>14</v>
      </c>
      <c r="DE35">
        <v>130.39644970410001</v>
      </c>
      <c r="DF35">
        <v>107.2142857143</v>
      </c>
      <c r="DH35" t="s">
        <v>381</v>
      </c>
      <c r="DI35" t="s">
        <v>826</v>
      </c>
      <c r="DJ35" t="s">
        <v>831</v>
      </c>
      <c r="DK35">
        <v>29</v>
      </c>
      <c r="DL35">
        <v>4</v>
      </c>
      <c r="DM35">
        <v>78.206896551699998</v>
      </c>
      <c r="DN35">
        <v>101</v>
      </c>
      <c r="DO35">
        <v>10</v>
      </c>
      <c r="DP35">
        <v>163.97029702969999</v>
      </c>
      <c r="DQ35">
        <v>95</v>
      </c>
    </row>
    <row r="36" spans="2:121" x14ac:dyDescent="0.2">
      <c r="B36" t="s">
        <v>98</v>
      </c>
      <c r="C36">
        <v>529</v>
      </c>
      <c r="D36">
        <v>411</v>
      </c>
      <c r="F36" t="s">
        <v>50</v>
      </c>
      <c r="G36">
        <v>2247</v>
      </c>
      <c r="H36">
        <v>220.1913662661</v>
      </c>
      <c r="I36">
        <v>2642</v>
      </c>
      <c r="J36">
        <v>737</v>
      </c>
      <c r="K36">
        <v>3350</v>
      </c>
      <c r="L36">
        <v>1820</v>
      </c>
      <c r="M36">
        <v>254</v>
      </c>
      <c r="N36">
        <v>230</v>
      </c>
      <c r="O36">
        <v>1089</v>
      </c>
      <c r="P36">
        <v>796</v>
      </c>
      <c r="Q36">
        <v>2</v>
      </c>
      <c r="R36">
        <v>17</v>
      </c>
      <c r="T36" t="s">
        <v>663</v>
      </c>
      <c r="U36" t="s">
        <v>315</v>
      </c>
      <c r="V36" t="s">
        <v>139</v>
      </c>
      <c r="W36" t="s">
        <v>222</v>
      </c>
      <c r="X36" t="s">
        <v>469</v>
      </c>
      <c r="Y36" t="s">
        <v>224</v>
      </c>
      <c r="Z36" t="s">
        <v>225</v>
      </c>
      <c r="AA36" t="s">
        <v>226</v>
      </c>
      <c r="AB36" t="s">
        <v>470</v>
      </c>
      <c r="AC36" t="s">
        <v>228</v>
      </c>
      <c r="AD36" t="s">
        <v>229</v>
      </c>
      <c r="AE36" t="s">
        <v>230</v>
      </c>
      <c r="AF36" t="s">
        <v>231</v>
      </c>
      <c r="AH36" t="s">
        <v>392</v>
      </c>
      <c r="AI36">
        <v>16673</v>
      </c>
      <c r="AJ36">
        <v>345.98884423919998</v>
      </c>
      <c r="AK36">
        <v>19880</v>
      </c>
      <c r="AL36">
        <v>7453</v>
      </c>
      <c r="AM36">
        <v>22288</v>
      </c>
      <c r="AN36">
        <v>14300</v>
      </c>
      <c r="AO36">
        <v>4192</v>
      </c>
      <c r="AP36">
        <v>3360</v>
      </c>
      <c r="AQ36">
        <v>7203</v>
      </c>
      <c r="AR36">
        <v>4482</v>
      </c>
      <c r="AS36">
        <v>594</v>
      </c>
      <c r="AT36">
        <v>38</v>
      </c>
      <c r="AV36" t="s">
        <v>393</v>
      </c>
      <c r="AW36">
        <v>763</v>
      </c>
      <c r="AX36">
        <v>95.120576670999995</v>
      </c>
      <c r="AY36">
        <v>631</v>
      </c>
      <c r="AZ36">
        <v>104</v>
      </c>
      <c r="BA36">
        <v>1265</v>
      </c>
      <c r="BB36">
        <v>318</v>
      </c>
      <c r="BC36">
        <v>28</v>
      </c>
      <c r="BD36">
        <v>28</v>
      </c>
      <c r="BE36">
        <v>263</v>
      </c>
      <c r="BF36">
        <v>47</v>
      </c>
      <c r="BG36">
        <v>133</v>
      </c>
      <c r="BH36">
        <v>209</v>
      </c>
      <c r="BJ36" t="s">
        <v>379</v>
      </c>
      <c r="BK36" t="s">
        <v>379</v>
      </c>
      <c r="BL36">
        <v>78903</v>
      </c>
      <c r="BM36">
        <v>28851</v>
      </c>
      <c r="BN36" s="156">
        <v>127.0015081809</v>
      </c>
      <c r="BO36">
        <v>188570</v>
      </c>
      <c r="BP36">
        <v>15812</v>
      </c>
      <c r="BQ36">
        <v>199.2169114918</v>
      </c>
      <c r="BR36">
        <v>177.60264356190001</v>
      </c>
      <c r="BS36">
        <v>79597</v>
      </c>
      <c r="BT36">
        <v>28690</v>
      </c>
      <c r="BU36">
        <v>125.07717627549999</v>
      </c>
      <c r="BV36">
        <v>186149</v>
      </c>
      <c r="BW36">
        <v>15729</v>
      </c>
      <c r="BX36">
        <v>196.25293716319999</v>
      </c>
      <c r="BY36">
        <v>174.44923389920001</v>
      </c>
      <c r="CA36" t="s">
        <v>425</v>
      </c>
      <c r="CB36" t="s">
        <v>873</v>
      </c>
      <c r="CC36" t="s">
        <v>1009</v>
      </c>
      <c r="CD36">
        <v>1313</v>
      </c>
      <c r="CE36">
        <v>350</v>
      </c>
      <c r="CF36">
        <v>109.6549885758</v>
      </c>
      <c r="CG36">
        <v>3000</v>
      </c>
      <c r="CH36">
        <v>269</v>
      </c>
      <c r="CI36">
        <v>179.84233333329999</v>
      </c>
      <c r="CJ36">
        <v>157.90334572489999</v>
      </c>
      <c r="CL36" t="s">
        <v>425</v>
      </c>
      <c r="CM36" t="s">
        <v>842</v>
      </c>
      <c r="CN36" t="s">
        <v>848</v>
      </c>
      <c r="CO36">
        <v>58</v>
      </c>
      <c r="CP36">
        <v>7</v>
      </c>
      <c r="CQ36">
        <v>65.741379310300005</v>
      </c>
      <c r="CR36">
        <v>341</v>
      </c>
      <c r="CS36">
        <v>40</v>
      </c>
      <c r="CT36">
        <v>74.067448680400005</v>
      </c>
      <c r="CU36">
        <v>85.85</v>
      </c>
      <c r="CW36" t="s">
        <v>425</v>
      </c>
      <c r="CX36" t="s">
        <v>858</v>
      </c>
      <c r="CY36" t="s">
        <v>864</v>
      </c>
      <c r="CZ36">
        <v>18</v>
      </c>
      <c r="DA36">
        <v>3</v>
      </c>
      <c r="DB36">
        <v>79.722222222200003</v>
      </c>
      <c r="DC36">
        <v>50</v>
      </c>
      <c r="DD36">
        <v>1</v>
      </c>
      <c r="DE36">
        <v>118.48</v>
      </c>
      <c r="DF36">
        <v>192</v>
      </c>
      <c r="DH36" t="s">
        <v>425</v>
      </c>
      <c r="DI36" t="s">
        <v>826</v>
      </c>
      <c r="DJ36" t="s">
        <v>832</v>
      </c>
      <c r="DK36">
        <v>11</v>
      </c>
      <c r="DL36">
        <v>2</v>
      </c>
      <c r="DM36">
        <v>66.818181818200003</v>
      </c>
      <c r="DN36">
        <v>23</v>
      </c>
      <c r="DO36">
        <v>1</v>
      </c>
      <c r="DP36">
        <v>159.0434782609</v>
      </c>
      <c r="DQ36">
        <v>228</v>
      </c>
    </row>
    <row r="37" spans="2:121" x14ac:dyDescent="0.2">
      <c r="B37" t="s">
        <v>121</v>
      </c>
      <c r="C37">
        <v>4362</v>
      </c>
      <c r="D37">
        <v>1382</v>
      </c>
      <c r="F37" t="s">
        <v>85</v>
      </c>
      <c r="G37">
        <v>551</v>
      </c>
      <c r="H37">
        <v>479.12704174229998</v>
      </c>
      <c r="I37">
        <v>883</v>
      </c>
      <c r="J37">
        <v>331</v>
      </c>
      <c r="K37">
        <v>630</v>
      </c>
      <c r="L37">
        <v>439</v>
      </c>
      <c r="M37">
        <v>9</v>
      </c>
      <c r="N37">
        <v>7</v>
      </c>
      <c r="O37">
        <v>243</v>
      </c>
      <c r="P37">
        <v>154</v>
      </c>
      <c r="Q37">
        <v>0</v>
      </c>
      <c r="R37">
        <v>0</v>
      </c>
      <c r="T37" t="s">
        <v>400</v>
      </c>
      <c r="U37">
        <v>2927</v>
      </c>
      <c r="V37">
        <v>56.691834643</v>
      </c>
      <c r="W37">
        <v>4376</v>
      </c>
      <c r="X37">
        <v>257</v>
      </c>
      <c r="Y37">
        <v>4900</v>
      </c>
      <c r="Z37">
        <v>397</v>
      </c>
      <c r="AA37">
        <v>41</v>
      </c>
      <c r="AB37">
        <v>39</v>
      </c>
      <c r="AC37">
        <v>325</v>
      </c>
      <c r="AD37">
        <v>95</v>
      </c>
      <c r="AE37">
        <v>3136</v>
      </c>
      <c r="AF37">
        <v>413</v>
      </c>
      <c r="AH37" t="s">
        <v>429</v>
      </c>
      <c r="AI37">
        <v>315</v>
      </c>
      <c r="AJ37">
        <v>190.19047619049999</v>
      </c>
      <c r="AK37">
        <v>690</v>
      </c>
      <c r="AL37">
        <v>181</v>
      </c>
      <c r="AM37">
        <v>741</v>
      </c>
      <c r="AN37">
        <v>177</v>
      </c>
      <c r="AO37">
        <v>66</v>
      </c>
      <c r="AP37">
        <v>40</v>
      </c>
      <c r="AQ37">
        <v>102</v>
      </c>
      <c r="AR37">
        <v>34</v>
      </c>
      <c r="AS37">
        <v>0</v>
      </c>
      <c r="AT37">
        <v>2</v>
      </c>
      <c r="AV37" t="s">
        <v>401</v>
      </c>
      <c r="AW37">
        <v>603</v>
      </c>
      <c r="AX37">
        <v>61.746268656700003</v>
      </c>
      <c r="AY37">
        <v>856</v>
      </c>
      <c r="AZ37">
        <v>62</v>
      </c>
      <c r="BA37">
        <v>1052</v>
      </c>
      <c r="BB37">
        <v>121</v>
      </c>
      <c r="BC37">
        <v>11</v>
      </c>
      <c r="BD37">
        <v>10</v>
      </c>
      <c r="BE37">
        <v>75</v>
      </c>
      <c r="BF37">
        <v>17</v>
      </c>
      <c r="BG37">
        <v>412</v>
      </c>
      <c r="BH37">
        <v>57</v>
      </c>
      <c r="BJ37" t="s">
        <v>543</v>
      </c>
      <c r="BK37" t="s">
        <v>379</v>
      </c>
      <c r="BL37">
        <v>8459</v>
      </c>
      <c r="BM37">
        <v>3598</v>
      </c>
      <c r="BN37" s="156">
        <v>143.6069275328</v>
      </c>
      <c r="BO37">
        <v>21849</v>
      </c>
      <c r="BP37">
        <v>1587</v>
      </c>
      <c r="BQ37">
        <v>237.86328893769999</v>
      </c>
      <c r="BR37">
        <v>211.7996219282</v>
      </c>
      <c r="BS37">
        <v>9045</v>
      </c>
      <c r="BT37">
        <v>3980</v>
      </c>
      <c r="BU37">
        <v>143.3804311774</v>
      </c>
      <c r="BV37">
        <v>22242</v>
      </c>
      <c r="BW37">
        <v>1707</v>
      </c>
      <c r="BX37">
        <v>236.28828342770001</v>
      </c>
      <c r="BY37">
        <v>209.49326303460001</v>
      </c>
      <c r="CA37" t="s">
        <v>384</v>
      </c>
      <c r="CB37" t="s">
        <v>873</v>
      </c>
      <c r="CC37" t="s">
        <v>1010</v>
      </c>
      <c r="CD37">
        <v>4530</v>
      </c>
      <c r="CE37">
        <v>1777</v>
      </c>
      <c r="CF37">
        <v>129.29845474609999</v>
      </c>
      <c r="CG37">
        <v>9936</v>
      </c>
      <c r="CH37">
        <v>796</v>
      </c>
      <c r="CI37">
        <v>196.57045088570001</v>
      </c>
      <c r="CJ37">
        <v>188.88567839199999</v>
      </c>
      <c r="CL37" t="s">
        <v>384</v>
      </c>
      <c r="CM37" t="s">
        <v>842</v>
      </c>
      <c r="CN37" t="s">
        <v>849</v>
      </c>
      <c r="CO37">
        <v>284</v>
      </c>
      <c r="CP37">
        <v>46</v>
      </c>
      <c r="CQ37">
        <v>74.468309859200005</v>
      </c>
      <c r="CR37">
        <v>1525</v>
      </c>
      <c r="CS37">
        <v>111</v>
      </c>
      <c r="CT37">
        <v>78.350163934400001</v>
      </c>
      <c r="CU37">
        <v>79.063063063100003</v>
      </c>
      <c r="CW37" t="s">
        <v>384</v>
      </c>
      <c r="CX37" t="s">
        <v>858</v>
      </c>
      <c r="CY37" t="s">
        <v>865</v>
      </c>
      <c r="CZ37">
        <v>79</v>
      </c>
      <c r="DA37">
        <v>8</v>
      </c>
      <c r="DB37">
        <v>65.050632911400001</v>
      </c>
      <c r="DC37">
        <v>168</v>
      </c>
      <c r="DD37">
        <v>9</v>
      </c>
      <c r="DE37">
        <v>139.3511904762</v>
      </c>
      <c r="DF37">
        <v>142.1111111111</v>
      </c>
      <c r="DH37" t="s">
        <v>384</v>
      </c>
      <c r="DI37" t="s">
        <v>826</v>
      </c>
      <c r="DJ37" t="s">
        <v>833</v>
      </c>
      <c r="DK37">
        <v>49</v>
      </c>
      <c r="DL37">
        <v>5</v>
      </c>
      <c r="DM37">
        <v>71.081632653100002</v>
      </c>
      <c r="DN37">
        <v>141</v>
      </c>
      <c r="DO37">
        <v>9</v>
      </c>
      <c r="DP37">
        <v>146.26241134750001</v>
      </c>
      <c r="DQ37">
        <v>126</v>
      </c>
    </row>
    <row r="38" spans="2:121" x14ac:dyDescent="0.2">
      <c r="B38" t="s">
        <v>102</v>
      </c>
      <c r="C38">
        <v>16422</v>
      </c>
      <c r="D38">
        <v>3100</v>
      </c>
      <c r="F38" t="s">
        <v>55</v>
      </c>
      <c r="G38">
        <v>6950</v>
      </c>
      <c r="H38">
        <v>439.03597122299999</v>
      </c>
      <c r="I38">
        <v>11694</v>
      </c>
      <c r="J38">
        <v>4860</v>
      </c>
      <c r="K38">
        <v>8592</v>
      </c>
      <c r="L38">
        <v>6477</v>
      </c>
      <c r="M38">
        <v>1031</v>
      </c>
      <c r="N38">
        <v>928</v>
      </c>
      <c r="O38">
        <v>5591</v>
      </c>
      <c r="P38">
        <v>3585</v>
      </c>
      <c r="Q38">
        <v>3</v>
      </c>
      <c r="R38">
        <v>36</v>
      </c>
      <c r="T38" t="s">
        <v>390</v>
      </c>
      <c r="U38">
        <v>7144</v>
      </c>
      <c r="V38">
        <v>93.284854423300004</v>
      </c>
      <c r="W38">
        <v>5747</v>
      </c>
      <c r="X38">
        <v>918</v>
      </c>
      <c r="Y38">
        <v>11380</v>
      </c>
      <c r="Z38">
        <v>2496</v>
      </c>
      <c r="AA38">
        <v>252</v>
      </c>
      <c r="AB38">
        <v>249</v>
      </c>
      <c r="AC38">
        <v>1814</v>
      </c>
      <c r="AD38">
        <v>320</v>
      </c>
      <c r="AE38">
        <v>1800</v>
      </c>
      <c r="AF38">
        <v>1315</v>
      </c>
      <c r="AH38" t="s">
        <v>401</v>
      </c>
      <c r="AI38">
        <v>10566</v>
      </c>
      <c r="AJ38">
        <v>499.2346204808</v>
      </c>
      <c r="AK38">
        <v>9028</v>
      </c>
      <c r="AL38">
        <v>2651</v>
      </c>
      <c r="AM38">
        <v>13911</v>
      </c>
      <c r="AN38">
        <v>10780</v>
      </c>
      <c r="AO38">
        <v>1671</v>
      </c>
      <c r="AP38">
        <v>1573</v>
      </c>
      <c r="AQ38">
        <v>4462</v>
      </c>
      <c r="AR38">
        <v>3529</v>
      </c>
      <c r="AS38">
        <v>47</v>
      </c>
      <c r="AT38">
        <v>343</v>
      </c>
      <c r="AV38" t="s">
        <v>406</v>
      </c>
      <c r="AW38">
        <v>258</v>
      </c>
      <c r="AX38">
        <v>57.201550387600001</v>
      </c>
      <c r="AY38">
        <v>289</v>
      </c>
      <c r="AZ38">
        <v>10</v>
      </c>
      <c r="BA38">
        <v>409</v>
      </c>
      <c r="BB38">
        <v>33</v>
      </c>
      <c r="BC38">
        <v>0</v>
      </c>
      <c r="BE38">
        <v>23</v>
      </c>
      <c r="BF38">
        <v>4</v>
      </c>
      <c r="BG38">
        <v>277</v>
      </c>
      <c r="BH38">
        <v>25</v>
      </c>
      <c r="BJ38" t="s">
        <v>546</v>
      </c>
      <c r="BK38" t="s">
        <v>379</v>
      </c>
      <c r="BL38">
        <v>4648</v>
      </c>
      <c r="BM38">
        <v>1921</v>
      </c>
      <c r="BN38" s="156">
        <v>148.3694061962</v>
      </c>
      <c r="BO38">
        <v>9997</v>
      </c>
      <c r="BP38">
        <v>784</v>
      </c>
      <c r="BQ38">
        <v>211.66629989</v>
      </c>
      <c r="BR38">
        <v>178.2946428571</v>
      </c>
      <c r="BS38">
        <v>4561</v>
      </c>
      <c r="BT38">
        <v>1795</v>
      </c>
      <c r="BU38">
        <v>143.21398816050001</v>
      </c>
      <c r="BV38">
        <v>8658</v>
      </c>
      <c r="BW38">
        <v>714</v>
      </c>
      <c r="BX38">
        <v>208.20836220839999</v>
      </c>
      <c r="BY38">
        <v>169.78571428570001</v>
      </c>
      <c r="CA38" t="s">
        <v>63</v>
      </c>
      <c r="CB38" t="s">
        <v>873</v>
      </c>
      <c r="CC38" t="s">
        <v>535</v>
      </c>
      <c r="CD38">
        <v>10072</v>
      </c>
      <c r="CE38">
        <v>3990</v>
      </c>
      <c r="CF38">
        <v>133.81830818110001</v>
      </c>
      <c r="CG38">
        <v>23299</v>
      </c>
      <c r="CH38">
        <v>2348</v>
      </c>
      <c r="CI38">
        <v>204.68191767889999</v>
      </c>
      <c r="CJ38">
        <v>181.32240204429999</v>
      </c>
      <c r="CL38" t="s">
        <v>63</v>
      </c>
      <c r="CM38" t="s">
        <v>842</v>
      </c>
      <c r="CN38" t="s">
        <v>850</v>
      </c>
      <c r="CO38">
        <v>616</v>
      </c>
      <c r="CP38">
        <v>87</v>
      </c>
      <c r="CQ38">
        <v>70.365259740300004</v>
      </c>
      <c r="CR38">
        <v>3656</v>
      </c>
      <c r="CS38">
        <v>301</v>
      </c>
      <c r="CT38">
        <v>69.608862144400007</v>
      </c>
      <c r="CU38">
        <v>64.893687707599994</v>
      </c>
      <c r="CW38" t="s">
        <v>63</v>
      </c>
      <c r="CX38" t="s">
        <v>858</v>
      </c>
      <c r="CY38" t="s">
        <v>866</v>
      </c>
      <c r="CZ38">
        <v>203</v>
      </c>
      <c r="DA38">
        <v>32</v>
      </c>
      <c r="DB38">
        <v>73.320197044300002</v>
      </c>
      <c r="DC38">
        <v>399</v>
      </c>
      <c r="DD38">
        <v>39</v>
      </c>
      <c r="DE38">
        <v>138.12781954889999</v>
      </c>
      <c r="DF38">
        <v>120.58974358970001</v>
      </c>
      <c r="DH38" t="s">
        <v>63</v>
      </c>
      <c r="DI38" t="s">
        <v>826</v>
      </c>
      <c r="DJ38" t="s">
        <v>834</v>
      </c>
      <c r="DK38">
        <v>123</v>
      </c>
      <c r="DL38">
        <v>20</v>
      </c>
      <c r="DM38">
        <v>79.8943089431</v>
      </c>
      <c r="DN38">
        <v>340</v>
      </c>
      <c r="DO38">
        <v>26</v>
      </c>
      <c r="DP38">
        <v>150.0911764706</v>
      </c>
      <c r="DQ38">
        <v>125.76923076920001</v>
      </c>
    </row>
    <row r="39" spans="2:121" x14ac:dyDescent="0.2">
      <c r="B39" t="s">
        <v>130</v>
      </c>
      <c r="C39">
        <v>4218</v>
      </c>
      <c r="D39">
        <v>644</v>
      </c>
      <c r="F39" t="s">
        <v>52</v>
      </c>
      <c r="G39">
        <v>4287</v>
      </c>
      <c r="H39">
        <v>383.49428504780002</v>
      </c>
      <c r="I39">
        <v>4880</v>
      </c>
      <c r="J39">
        <v>2487</v>
      </c>
      <c r="K39">
        <v>5645</v>
      </c>
      <c r="L39">
        <v>3934</v>
      </c>
      <c r="M39">
        <v>1431</v>
      </c>
      <c r="N39">
        <v>1209</v>
      </c>
      <c r="O39">
        <v>2428</v>
      </c>
      <c r="P39">
        <v>1971</v>
      </c>
      <c r="Q39">
        <v>80</v>
      </c>
      <c r="R39">
        <v>166</v>
      </c>
      <c r="T39" t="s">
        <v>379</v>
      </c>
      <c r="U39">
        <v>6310</v>
      </c>
      <c r="V39">
        <v>98.153565768600004</v>
      </c>
      <c r="W39">
        <v>6619</v>
      </c>
      <c r="X39">
        <v>1172</v>
      </c>
      <c r="Y39">
        <v>10450</v>
      </c>
      <c r="Z39">
        <v>2570</v>
      </c>
      <c r="AA39">
        <v>475</v>
      </c>
      <c r="AB39">
        <v>466</v>
      </c>
      <c r="AC39">
        <v>2712</v>
      </c>
      <c r="AD39">
        <v>406</v>
      </c>
      <c r="AE39">
        <v>1050</v>
      </c>
      <c r="AF39">
        <v>1746</v>
      </c>
      <c r="AH39" t="s">
        <v>422</v>
      </c>
      <c r="AI39">
        <v>6128</v>
      </c>
      <c r="AJ39">
        <v>243.06103133159999</v>
      </c>
      <c r="AK39">
        <v>8172</v>
      </c>
      <c r="AL39">
        <v>2306</v>
      </c>
      <c r="AM39">
        <v>8518</v>
      </c>
      <c r="AN39">
        <v>3944</v>
      </c>
      <c r="AO39">
        <v>1253</v>
      </c>
      <c r="AP39">
        <v>603</v>
      </c>
      <c r="AQ39">
        <v>1111</v>
      </c>
      <c r="AR39">
        <v>441</v>
      </c>
      <c r="AS39">
        <v>10</v>
      </c>
      <c r="AT39">
        <v>73</v>
      </c>
      <c r="AV39" t="s">
        <v>424</v>
      </c>
      <c r="AW39">
        <v>32</v>
      </c>
      <c r="AX39">
        <v>83.84375</v>
      </c>
      <c r="AY39">
        <v>32</v>
      </c>
      <c r="AZ39">
        <v>6</v>
      </c>
      <c r="BA39">
        <v>56</v>
      </c>
      <c r="BB39">
        <v>12</v>
      </c>
      <c r="BC39">
        <v>6</v>
      </c>
      <c r="BD39">
        <v>6</v>
      </c>
      <c r="BE39">
        <v>16</v>
      </c>
      <c r="BF39">
        <v>5</v>
      </c>
      <c r="BG39">
        <v>7</v>
      </c>
      <c r="BH39">
        <v>9</v>
      </c>
      <c r="BJ39" t="s">
        <v>531</v>
      </c>
      <c r="BK39" t="s">
        <v>379</v>
      </c>
      <c r="BL39">
        <v>2182</v>
      </c>
      <c r="BM39">
        <v>478</v>
      </c>
      <c r="BN39" s="156">
        <v>86.154903758000003</v>
      </c>
      <c r="BO39">
        <v>17646</v>
      </c>
      <c r="BP39">
        <v>1287</v>
      </c>
      <c r="BQ39">
        <v>56.821489289399999</v>
      </c>
      <c r="BR39">
        <v>43.939393939399999</v>
      </c>
      <c r="BS39">
        <v>4371</v>
      </c>
      <c r="BT39">
        <v>2418</v>
      </c>
      <c r="BU39">
        <v>160.42049874169999</v>
      </c>
      <c r="BV39">
        <v>21758</v>
      </c>
      <c r="BW39">
        <v>1696</v>
      </c>
      <c r="BX39">
        <v>84.010386984099995</v>
      </c>
      <c r="BY39">
        <v>88.998231132100003</v>
      </c>
      <c r="CA39" t="s">
        <v>392</v>
      </c>
      <c r="CB39" t="s">
        <v>873</v>
      </c>
      <c r="CC39" t="s">
        <v>1011</v>
      </c>
      <c r="CD39">
        <v>19275</v>
      </c>
      <c r="CE39">
        <v>7247</v>
      </c>
      <c r="CF39">
        <v>128.06677042800001</v>
      </c>
      <c r="CG39">
        <v>43186</v>
      </c>
      <c r="CH39">
        <v>3582</v>
      </c>
      <c r="CI39">
        <v>202.5099337748</v>
      </c>
      <c r="CJ39">
        <v>178.847012842</v>
      </c>
      <c r="CL39" t="s">
        <v>392</v>
      </c>
      <c r="CM39" t="s">
        <v>842</v>
      </c>
      <c r="CN39" t="s">
        <v>851</v>
      </c>
      <c r="CO39">
        <v>657</v>
      </c>
      <c r="CP39">
        <v>116</v>
      </c>
      <c r="CQ39">
        <v>77.482496194800007</v>
      </c>
      <c r="CR39">
        <v>3910</v>
      </c>
      <c r="CS39">
        <v>287</v>
      </c>
      <c r="CT39">
        <v>77.360102301799998</v>
      </c>
      <c r="CU39">
        <v>72.9163763066</v>
      </c>
      <c r="CW39" t="s">
        <v>392</v>
      </c>
      <c r="CX39" t="s">
        <v>858</v>
      </c>
      <c r="CY39" t="s">
        <v>867</v>
      </c>
      <c r="CZ39">
        <v>487</v>
      </c>
      <c r="DA39">
        <v>94</v>
      </c>
      <c r="DB39">
        <v>76.112936344999994</v>
      </c>
      <c r="DC39">
        <v>975</v>
      </c>
      <c r="DD39">
        <v>83</v>
      </c>
      <c r="DE39">
        <v>142.3138461538</v>
      </c>
      <c r="DF39">
        <v>142.46987951809999</v>
      </c>
      <c r="DH39" t="s">
        <v>392</v>
      </c>
      <c r="DI39" t="s">
        <v>826</v>
      </c>
      <c r="DJ39" t="s">
        <v>835</v>
      </c>
      <c r="DK39">
        <v>918</v>
      </c>
      <c r="DL39">
        <v>121</v>
      </c>
      <c r="DM39">
        <v>69.715686274500001</v>
      </c>
      <c r="DN39">
        <v>1284</v>
      </c>
      <c r="DO39">
        <v>130</v>
      </c>
      <c r="DP39">
        <v>127.00856697819999</v>
      </c>
      <c r="DQ39">
        <v>135.31538461540001</v>
      </c>
    </row>
    <row r="40" spans="2:121" x14ac:dyDescent="0.2">
      <c r="B40" t="s">
        <v>111</v>
      </c>
      <c r="C40">
        <v>6130</v>
      </c>
      <c r="D40">
        <v>4603</v>
      </c>
      <c r="F40" t="s">
        <v>63</v>
      </c>
      <c r="G40">
        <v>3324</v>
      </c>
      <c r="H40">
        <v>254.7289410349</v>
      </c>
      <c r="I40">
        <v>4938</v>
      </c>
      <c r="J40">
        <v>2123</v>
      </c>
      <c r="K40">
        <v>5057</v>
      </c>
      <c r="L40">
        <v>2775</v>
      </c>
      <c r="M40">
        <v>1223</v>
      </c>
      <c r="N40">
        <v>816</v>
      </c>
      <c r="O40">
        <v>297</v>
      </c>
      <c r="P40">
        <v>224</v>
      </c>
      <c r="Q40">
        <v>0</v>
      </c>
      <c r="R40">
        <v>9</v>
      </c>
      <c r="T40" t="s">
        <v>8</v>
      </c>
      <c r="U40">
        <v>219</v>
      </c>
      <c r="V40">
        <v>97.497716894999996</v>
      </c>
      <c r="W40">
        <v>183</v>
      </c>
      <c r="X40">
        <v>60</v>
      </c>
      <c r="Y40">
        <v>500</v>
      </c>
      <c r="Z40">
        <v>148</v>
      </c>
      <c r="AA40">
        <v>29</v>
      </c>
      <c r="AB40">
        <v>27</v>
      </c>
      <c r="AC40">
        <v>127</v>
      </c>
      <c r="AD40">
        <v>17</v>
      </c>
      <c r="AE40">
        <v>65</v>
      </c>
      <c r="AF40">
        <v>19</v>
      </c>
      <c r="AH40" t="s">
        <v>419</v>
      </c>
      <c r="AI40">
        <v>10063</v>
      </c>
      <c r="AJ40">
        <v>380.9153333996</v>
      </c>
      <c r="AK40">
        <v>6134</v>
      </c>
      <c r="AL40">
        <v>2158</v>
      </c>
      <c r="AM40">
        <v>12750</v>
      </c>
      <c r="AN40">
        <v>8467</v>
      </c>
      <c r="AO40">
        <v>3491</v>
      </c>
      <c r="AP40">
        <v>3018</v>
      </c>
      <c r="AQ40">
        <v>1309</v>
      </c>
      <c r="AR40">
        <v>702</v>
      </c>
      <c r="AS40">
        <v>3</v>
      </c>
      <c r="AT40">
        <v>74</v>
      </c>
      <c r="AV40" t="s">
        <v>420</v>
      </c>
      <c r="AW40">
        <v>708</v>
      </c>
      <c r="AX40">
        <v>44.3926553672</v>
      </c>
      <c r="AY40">
        <v>1440</v>
      </c>
      <c r="AZ40">
        <v>65</v>
      </c>
      <c r="BA40">
        <v>1390</v>
      </c>
      <c r="BB40">
        <v>72</v>
      </c>
      <c r="BC40">
        <v>14</v>
      </c>
      <c r="BD40">
        <v>13</v>
      </c>
      <c r="BE40">
        <v>58</v>
      </c>
      <c r="BF40">
        <v>29</v>
      </c>
      <c r="BG40">
        <v>960</v>
      </c>
      <c r="BH40">
        <v>254</v>
      </c>
      <c r="BJ40" t="s">
        <v>552</v>
      </c>
      <c r="BK40" t="s">
        <v>379</v>
      </c>
      <c r="BL40">
        <v>12045</v>
      </c>
      <c r="BM40">
        <v>4386</v>
      </c>
      <c r="BN40" s="156">
        <v>123.2420921544</v>
      </c>
      <c r="BO40">
        <v>28109</v>
      </c>
      <c r="BP40">
        <v>2238</v>
      </c>
      <c r="BQ40">
        <v>217.32569639619999</v>
      </c>
      <c r="BR40">
        <v>174.46425379799999</v>
      </c>
      <c r="BS40">
        <v>12594</v>
      </c>
      <c r="BT40">
        <v>4411</v>
      </c>
      <c r="BU40">
        <v>117.91591233920001</v>
      </c>
      <c r="BV40">
        <v>26757</v>
      </c>
      <c r="BW40">
        <v>2295</v>
      </c>
      <c r="BX40">
        <v>205.88212430390001</v>
      </c>
      <c r="BY40">
        <v>164.3581699346</v>
      </c>
      <c r="CA40" t="s">
        <v>385</v>
      </c>
      <c r="CB40" t="s">
        <v>873</v>
      </c>
      <c r="CC40" t="s">
        <v>1012</v>
      </c>
      <c r="CD40">
        <v>9895</v>
      </c>
      <c r="CE40">
        <v>3712</v>
      </c>
      <c r="CF40">
        <v>131.92784234460001</v>
      </c>
      <c r="CG40">
        <v>25079</v>
      </c>
      <c r="CH40">
        <v>1898</v>
      </c>
      <c r="CI40">
        <v>218.6127437298</v>
      </c>
      <c r="CJ40">
        <v>191.18387776610001</v>
      </c>
      <c r="CL40" t="s">
        <v>385</v>
      </c>
      <c r="CM40" t="s">
        <v>842</v>
      </c>
      <c r="CN40" t="s">
        <v>852</v>
      </c>
      <c r="CO40">
        <v>743</v>
      </c>
      <c r="CP40">
        <v>85</v>
      </c>
      <c r="CQ40">
        <v>63.484522207300003</v>
      </c>
      <c r="CR40">
        <v>4442</v>
      </c>
      <c r="CS40">
        <v>343</v>
      </c>
      <c r="CT40">
        <v>68.740882485399993</v>
      </c>
      <c r="CU40">
        <v>58.953352769699997</v>
      </c>
      <c r="CW40" t="s">
        <v>385</v>
      </c>
      <c r="CX40" t="s">
        <v>858</v>
      </c>
      <c r="CY40" t="s">
        <v>868</v>
      </c>
      <c r="CZ40">
        <v>146</v>
      </c>
      <c r="DA40">
        <v>27</v>
      </c>
      <c r="DB40">
        <v>75.575342465800006</v>
      </c>
      <c r="DC40">
        <v>384</v>
      </c>
      <c r="DD40">
        <v>29</v>
      </c>
      <c r="DE40">
        <v>131.96875</v>
      </c>
      <c r="DF40">
        <v>133.82758620690001</v>
      </c>
      <c r="DH40" t="s">
        <v>385</v>
      </c>
      <c r="DI40" t="s">
        <v>826</v>
      </c>
      <c r="DJ40" t="s">
        <v>836</v>
      </c>
      <c r="DK40">
        <v>96</v>
      </c>
      <c r="DL40">
        <v>19</v>
      </c>
      <c r="DM40">
        <v>78.645833333300004</v>
      </c>
      <c r="DN40">
        <v>255</v>
      </c>
      <c r="DO40">
        <v>22</v>
      </c>
      <c r="DP40">
        <v>152.73333333330001</v>
      </c>
      <c r="DQ40">
        <v>164.2272727273</v>
      </c>
    </row>
    <row r="41" spans="2:121" x14ac:dyDescent="0.2">
      <c r="B41" t="s">
        <v>119</v>
      </c>
      <c r="C41">
        <v>12489</v>
      </c>
      <c r="D41">
        <v>2065</v>
      </c>
      <c r="F41" t="s">
        <v>25</v>
      </c>
      <c r="G41">
        <v>13091</v>
      </c>
      <c r="H41">
        <v>366.88900771520002</v>
      </c>
      <c r="I41">
        <v>17704</v>
      </c>
      <c r="J41">
        <v>5972</v>
      </c>
      <c r="K41">
        <v>17820</v>
      </c>
      <c r="L41">
        <v>12421</v>
      </c>
      <c r="M41">
        <v>4379</v>
      </c>
      <c r="N41">
        <v>3868</v>
      </c>
      <c r="O41">
        <v>11482</v>
      </c>
      <c r="P41">
        <v>8446</v>
      </c>
      <c r="Q41">
        <v>56</v>
      </c>
      <c r="R41">
        <v>26</v>
      </c>
      <c r="T41" t="s">
        <v>395</v>
      </c>
      <c r="U41">
        <v>1895</v>
      </c>
      <c r="V41">
        <v>49.311873350900001</v>
      </c>
      <c r="W41">
        <v>2961</v>
      </c>
      <c r="X41">
        <v>134</v>
      </c>
      <c r="Y41">
        <v>3396</v>
      </c>
      <c r="Z41">
        <v>231</v>
      </c>
      <c r="AA41">
        <v>32</v>
      </c>
      <c r="AB41">
        <v>31</v>
      </c>
      <c r="AC41">
        <v>205</v>
      </c>
      <c r="AD41">
        <v>77</v>
      </c>
      <c r="AE41">
        <v>2373</v>
      </c>
      <c r="AF41">
        <v>446</v>
      </c>
      <c r="AH41" t="s">
        <v>8</v>
      </c>
      <c r="AI41">
        <v>8883</v>
      </c>
      <c r="AJ41">
        <v>401.92783969380002</v>
      </c>
      <c r="AK41">
        <v>4536</v>
      </c>
      <c r="AL41">
        <v>2181</v>
      </c>
      <c r="AM41">
        <v>10753</v>
      </c>
      <c r="AN41">
        <v>7990</v>
      </c>
      <c r="AO41">
        <v>1297</v>
      </c>
      <c r="AP41">
        <v>1133</v>
      </c>
      <c r="AQ41">
        <v>16851</v>
      </c>
      <c r="AR41">
        <v>8219</v>
      </c>
      <c r="AS41">
        <v>352</v>
      </c>
      <c r="AT41">
        <v>138</v>
      </c>
      <c r="AV41" t="s">
        <v>421</v>
      </c>
      <c r="AW41">
        <v>217</v>
      </c>
      <c r="AX41">
        <v>52.571428571399998</v>
      </c>
      <c r="AY41">
        <v>186</v>
      </c>
      <c r="AZ41">
        <v>13</v>
      </c>
      <c r="BA41">
        <v>362</v>
      </c>
      <c r="BB41">
        <v>34</v>
      </c>
      <c r="BC41">
        <v>6</v>
      </c>
      <c r="BD41">
        <v>6</v>
      </c>
      <c r="BE41">
        <v>31</v>
      </c>
      <c r="BF41">
        <v>8</v>
      </c>
      <c r="BG41">
        <v>226</v>
      </c>
      <c r="BH41">
        <v>19</v>
      </c>
      <c r="BJ41" t="s">
        <v>644</v>
      </c>
      <c r="BK41" t="s">
        <v>379</v>
      </c>
      <c r="BL41">
        <v>1282</v>
      </c>
      <c r="BM41">
        <v>287</v>
      </c>
      <c r="BN41" s="156">
        <v>97.556162246499994</v>
      </c>
      <c r="BO41">
        <v>3223</v>
      </c>
      <c r="BP41">
        <v>233</v>
      </c>
      <c r="BQ41">
        <v>126.3794601303</v>
      </c>
      <c r="BR41">
        <v>167.5321888412</v>
      </c>
      <c r="BS41">
        <v>5264</v>
      </c>
      <c r="BT41">
        <v>2356</v>
      </c>
      <c r="BU41">
        <v>155.1434270517</v>
      </c>
      <c r="BV41">
        <v>14239</v>
      </c>
      <c r="BW41">
        <v>1183</v>
      </c>
      <c r="BX41">
        <v>214.1710092001</v>
      </c>
      <c r="BY41">
        <v>233.75908706679999</v>
      </c>
      <c r="CA41" t="s">
        <v>382</v>
      </c>
      <c r="CB41" t="s">
        <v>873</v>
      </c>
      <c r="CC41" t="s">
        <v>1013</v>
      </c>
      <c r="CD41">
        <v>866</v>
      </c>
      <c r="CE41">
        <v>220</v>
      </c>
      <c r="CF41">
        <v>96.907621247099996</v>
      </c>
      <c r="CG41">
        <v>2290</v>
      </c>
      <c r="CH41">
        <v>174</v>
      </c>
      <c r="CI41">
        <v>115.9248908297</v>
      </c>
      <c r="CJ41">
        <v>106.85057471259999</v>
      </c>
      <c r="CL41" t="s">
        <v>382</v>
      </c>
      <c r="CM41" t="s">
        <v>842</v>
      </c>
      <c r="CN41" t="s">
        <v>853</v>
      </c>
      <c r="CO41">
        <v>50</v>
      </c>
      <c r="CP41">
        <v>2</v>
      </c>
      <c r="CQ41">
        <v>57.12</v>
      </c>
      <c r="CR41">
        <v>242</v>
      </c>
      <c r="CS41">
        <v>26</v>
      </c>
      <c r="CT41">
        <v>70.706611570199996</v>
      </c>
      <c r="CU41">
        <v>68.230769230799993</v>
      </c>
      <c r="CW41" t="s">
        <v>382</v>
      </c>
      <c r="CX41" t="s">
        <v>858</v>
      </c>
      <c r="CY41" t="s">
        <v>869</v>
      </c>
      <c r="CZ41">
        <v>5</v>
      </c>
      <c r="DA41">
        <v>1</v>
      </c>
      <c r="DB41">
        <v>62.4</v>
      </c>
      <c r="DC41">
        <v>27</v>
      </c>
      <c r="DD41">
        <v>0</v>
      </c>
      <c r="DE41">
        <v>97.777777777799997</v>
      </c>
      <c r="DF41">
        <v>0</v>
      </c>
      <c r="DH41" t="s">
        <v>382</v>
      </c>
      <c r="DI41" t="s">
        <v>826</v>
      </c>
      <c r="DJ41" t="s">
        <v>837</v>
      </c>
      <c r="DK41">
        <v>1</v>
      </c>
      <c r="DL41">
        <v>0</v>
      </c>
      <c r="DM41">
        <v>20</v>
      </c>
      <c r="DN41">
        <v>13</v>
      </c>
      <c r="DO41">
        <v>0</v>
      </c>
      <c r="DP41">
        <v>145.92307692310001</v>
      </c>
      <c r="DQ41">
        <v>0</v>
      </c>
    </row>
    <row r="42" spans="2:121" x14ac:dyDescent="0.2">
      <c r="B42" t="s">
        <v>118</v>
      </c>
      <c r="C42">
        <v>4988</v>
      </c>
      <c r="D42">
        <v>284</v>
      </c>
      <c r="F42" t="s">
        <v>78</v>
      </c>
      <c r="G42">
        <v>4712</v>
      </c>
      <c r="H42">
        <v>267.06387945670002</v>
      </c>
      <c r="I42">
        <v>5529</v>
      </c>
      <c r="J42">
        <v>1769</v>
      </c>
      <c r="K42">
        <v>7530</v>
      </c>
      <c r="L42">
        <v>4763</v>
      </c>
      <c r="M42">
        <v>2424</v>
      </c>
      <c r="N42">
        <v>2294</v>
      </c>
      <c r="O42">
        <v>5905</v>
      </c>
      <c r="P42">
        <v>4670</v>
      </c>
      <c r="Q42">
        <v>45</v>
      </c>
      <c r="R42">
        <v>128</v>
      </c>
      <c r="T42" t="s">
        <v>414</v>
      </c>
      <c r="U42">
        <v>1505</v>
      </c>
      <c r="V42">
        <v>43.499667774099997</v>
      </c>
      <c r="W42">
        <v>3475</v>
      </c>
      <c r="X42">
        <v>142</v>
      </c>
      <c r="Y42">
        <v>2595</v>
      </c>
      <c r="Z42">
        <v>171</v>
      </c>
      <c r="AA42">
        <v>31</v>
      </c>
      <c r="AB42">
        <v>30</v>
      </c>
      <c r="AC42">
        <v>132</v>
      </c>
      <c r="AD42">
        <v>68</v>
      </c>
      <c r="AE42">
        <v>2117</v>
      </c>
      <c r="AF42">
        <v>557</v>
      </c>
      <c r="AH42" t="s">
        <v>385</v>
      </c>
      <c r="AI42">
        <v>8519</v>
      </c>
      <c r="AJ42">
        <v>389.10728958800001</v>
      </c>
      <c r="AK42">
        <v>10111</v>
      </c>
      <c r="AL42">
        <v>3745</v>
      </c>
      <c r="AM42">
        <v>12187</v>
      </c>
      <c r="AN42">
        <v>7844</v>
      </c>
      <c r="AO42">
        <v>871</v>
      </c>
      <c r="AP42">
        <v>614</v>
      </c>
      <c r="AQ42">
        <v>5820</v>
      </c>
      <c r="AR42">
        <v>3723</v>
      </c>
      <c r="AS42">
        <v>726</v>
      </c>
      <c r="AT42">
        <v>12</v>
      </c>
      <c r="AV42" t="s">
        <v>63</v>
      </c>
      <c r="AW42">
        <v>1046</v>
      </c>
      <c r="AX42">
        <v>99.695984703600004</v>
      </c>
      <c r="AY42">
        <v>1355</v>
      </c>
      <c r="AZ42">
        <v>260</v>
      </c>
      <c r="BA42">
        <v>1756</v>
      </c>
      <c r="BB42">
        <v>474</v>
      </c>
      <c r="BC42">
        <v>67</v>
      </c>
      <c r="BD42">
        <v>66</v>
      </c>
      <c r="BE42">
        <v>467</v>
      </c>
      <c r="BF42">
        <v>72</v>
      </c>
      <c r="BG42">
        <v>158</v>
      </c>
      <c r="BH42">
        <v>287</v>
      </c>
      <c r="BJ42" t="s">
        <v>646</v>
      </c>
      <c r="BK42" t="s">
        <v>379</v>
      </c>
      <c r="BL42">
        <v>434</v>
      </c>
      <c r="BM42">
        <v>127</v>
      </c>
      <c r="BN42" s="156">
        <v>110.5783410138</v>
      </c>
      <c r="BO42">
        <v>1131</v>
      </c>
      <c r="BP42">
        <v>84</v>
      </c>
      <c r="BQ42">
        <v>174.08930150309999</v>
      </c>
      <c r="BR42">
        <v>166.17857142860001</v>
      </c>
      <c r="BS42">
        <v>779</v>
      </c>
      <c r="BT42">
        <v>366</v>
      </c>
      <c r="BU42">
        <v>129.9704749679</v>
      </c>
      <c r="BV42">
        <v>1694</v>
      </c>
      <c r="BW42">
        <v>135</v>
      </c>
      <c r="BX42">
        <v>196.10389610390001</v>
      </c>
      <c r="BY42">
        <v>162.90370370369999</v>
      </c>
      <c r="CA42" t="s">
        <v>427</v>
      </c>
      <c r="CB42" t="s">
        <v>873</v>
      </c>
      <c r="CC42" t="s">
        <v>1014</v>
      </c>
      <c r="CD42">
        <v>430</v>
      </c>
      <c r="CE42">
        <v>124</v>
      </c>
      <c r="CF42">
        <v>108.976744186</v>
      </c>
      <c r="CG42">
        <v>1126</v>
      </c>
      <c r="CH42">
        <v>83</v>
      </c>
      <c r="CI42">
        <v>169.53552397870001</v>
      </c>
      <c r="CJ42">
        <v>186.72289156630001</v>
      </c>
      <c r="CL42" t="s">
        <v>427</v>
      </c>
      <c r="CM42" t="s">
        <v>842</v>
      </c>
      <c r="CN42" t="s">
        <v>854</v>
      </c>
      <c r="CO42">
        <v>19</v>
      </c>
      <c r="CP42">
        <v>1</v>
      </c>
      <c r="CQ42">
        <v>63.368421052599999</v>
      </c>
      <c r="CR42">
        <v>98</v>
      </c>
      <c r="CS42">
        <v>10</v>
      </c>
      <c r="CT42">
        <v>85.040816326500007</v>
      </c>
      <c r="CU42">
        <v>83.4</v>
      </c>
      <c r="CW42" t="s">
        <v>427</v>
      </c>
      <c r="CX42" t="s">
        <v>858</v>
      </c>
      <c r="CY42" t="s">
        <v>870</v>
      </c>
      <c r="CZ42">
        <v>5</v>
      </c>
      <c r="DA42">
        <v>0</v>
      </c>
      <c r="DB42">
        <v>81.400000000000006</v>
      </c>
      <c r="DC42">
        <v>19</v>
      </c>
      <c r="DD42">
        <v>1</v>
      </c>
      <c r="DE42">
        <v>139.63157894739999</v>
      </c>
      <c r="DF42">
        <v>113</v>
      </c>
      <c r="DH42" t="s">
        <v>427</v>
      </c>
      <c r="DI42" t="s">
        <v>826</v>
      </c>
      <c r="DJ42" t="s">
        <v>838</v>
      </c>
      <c r="DK42">
        <v>4</v>
      </c>
      <c r="DL42">
        <v>1</v>
      </c>
      <c r="DM42">
        <v>88.5</v>
      </c>
      <c r="DN42">
        <v>13</v>
      </c>
      <c r="DO42">
        <v>1</v>
      </c>
      <c r="DP42">
        <v>161.4615384615</v>
      </c>
      <c r="DQ42">
        <v>164</v>
      </c>
    </row>
    <row r="43" spans="2:121" x14ac:dyDescent="0.2">
      <c r="B43" t="s">
        <v>133</v>
      </c>
      <c r="C43">
        <v>53484</v>
      </c>
      <c r="D43">
        <v>44894</v>
      </c>
      <c r="F43" t="s">
        <v>35</v>
      </c>
      <c r="G43">
        <v>2490</v>
      </c>
      <c r="H43">
        <v>513.66104417669999</v>
      </c>
      <c r="I43">
        <v>897</v>
      </c>
      <c r="J43">
        <v>130</v>
      </c>
      <c r="K43">
        <v>3070</v>
      </c>
      <c r="L43">
        <v>2283</v>
      </c>
      <c r="M43">
        <v>1894</v>
      </c>
      <c r="N43">
        <v>1712</v>
      </c>
      <c r="O43">
        <v>149</v>
      </c>
      <c r="P43">
        <v>121</v>
      </c>
      <c r="Q43">
        <v>0</v>
      </c>
      <c r="R43">
        <v>3</v>
      </c>
      <c r="AH43" t="s">
        <v>437</v>
      </c>
      <c r="AI43">
        <v>2946</v>
      </c>
      <c r="AJ43">
        <v>298.3482688391</v>
      </c>
      <c r="AK43">
        <v>2958</v>
      </c>
      <c r="AL43">
        <v>843</v>
      </c>
      <c r="AM43">
        <v>4774</v>
      </c>
      <c r="AN43">
        <v>3039</v>
      </c>
      <c r="AO43">
        <v>694</v>
      </c>
      <c r="AP43">
        <v>618</v>
      </c>
      <c r="AQ43">
        <v>1709</v>
      </c>
      <c r="AR43">
        <v>1281</v>
      </c>
      <c r="AS43">
        <v>166</v>
      </c>
      <c r="AT43">
        <v>5</v>
      </c>
      <c r="AV43" t="s">
        <v>426</v>
      </c>
      <c r="AW43">
        <v>116</v>
      </c>
      <c r="AX43">
        <v>89.629310344800004</v>
      </c>
      <c r="AY43">
        <v>68</v>
      </c>
      <c r="AZ43">
        <v>9</v>
      </c>
      <c r="BA43">
        <v>189</v>
      </c>
      <c r="BB43">
        <v>49</v>
      </c>
      <c r="BC43">
        <v>5</v>
      </c>
      <c r="BD43">
        <v>5</v>
      </c>
      <c r="BE43">
        <v>43</v>
      </c>
      <c r="BF43">
        <v>4</v>
      </c>
      <c r="BG43">
        <v>14</v>
      </c>
      <c r="BH43">
        <v>24</v>
      </c>
      <c r="BJ43" t="s">
        <v>660</v>
      </c>
      <c r="BK43" t="s">
        <v>379</v>
      </c>
      <c r="BL43">
        <v>895</v>
      </c>
      <c r="BM43">
        <v>338</v>
      </c>
      <c r="BN43" s="156">
        <v>137.03351955310001</v>
      </c>
      <c r="BO43">
        <v>2023</v>
      </c>
      <c r="BP43">
        <v>145</v>
      </c>
      <c r="BQ43">
        <v>224.43252595160001</v>
      </c>
      <c r="BR43">
        <v>238.22758620690001</v>
      </c>
      <c r="BS43">
        <v>724</v>
      </c>
      <c r="BT43">
        <v>212</v>
      </c>
      <c r="BU43">
        <v>128.93093922649999</v>
      </c>
      <c r="BV43">
        <v>1617</v>
      </c>
      <c r="BW43">
        <v>97</v>
      </c>
      <c r="BX43">
        <v>229.2158317873</v>
      </c>
      <c r="BY43">
        <v>259.06185567009999</v>
      </c>
      <c r="CA43" t="s">
        <v>388</v>
      </c>
      <c r="CB43" t="s">
        <v>873</v>
      </c>
      <c r="CC43" t="s">
        <v>1015</v>
      </c>
      <c r="CD43">
        <v>12633</v>
      </c>
      <c r="CE43">
        <v>4601</v>
      </c>
      <c r="CF43">
        <v>124.1295020977</v>
      </c>
      <c r="CG43">
        <v>30134</v>
      </c>
      <c r="CH43">
        <v>2405</v>
      </c>
      <c r="CI43">
        <v>206.47547620629999</v>
      </c>
      <c r="CJ43">
        <v>167.90187110190001</v>
      </c>
      <c r="CL43" t="s">
        <v>388</v>
      </c>
      <c r="CM43" t="s">
        <v>842</v>
      </c>
      <c r="CN43" t="s">
        <v>855</v>
      </c>
      <c r="CO43">
        <v>446</v>
      </c>
      <c r="CP43">
        <v>82</v>
      </c>
      <c r="CQ43">
        <v>82</v>
      </c>
      <c r="CR43">
        <v>2417</v>
      </c>
      <c r="CS43">
        <v>191</v>
      </c>
      <c r="CT43">
        <v>81.6164666942</v>
      </c>
      <c r="CU43">
        <v>90.015706806300003</v>
      </c>
      <c r="CW43" t="s">
        <v>388</v>
      </c>
      <c r="CX43" t="s">
        <v>858</v>
      </c>
      <c r="CY43" t="s">
        <v>871</v>
      </c>
      <c r="CZ43">
        <v>535</v>
      </c>
      <c r="DA43">
        <v>107</v>
      </c>
      <c r="DB43">
        <v>83.385046728999995</v>
      </c>
      <c r="DC43">
        <v>1138</v>
      </c>
      <c r="DD43">
        <v>91</v>
      </c>
      <c r="DE43">
        <v>149.53690685410001</v>
      </c>
      <c r="DF43">
        <v>138.07692307689999</v>
      </c>
      <c r="DH43" t="s">
        <v>388</v>
      </c>
      <c r="DI43" t="s">
        <v>826</v>
      </c>
      <c r="DJ43" t="s">
        <v>839</v>
      </c>
      <c r="DK43">
        <v>709</v>
      </c>
      <c r="DL43">
        <v>164</v>
      </c>
      <c r="DM43">
        <v>86.750352609299995</v>
      </c>
      <c r="DN43">
        <v>1326</v>
      </c>
      <c r="DO43">
        <v>118</v>
      </c>
      <c r="DP43">
        <v>138.87782805430001</v>
      </c>
      <c r="DQ43">
        <v>147.4406779661</v>
      </c>
    </row>
    <row r="44" spans="2:121" x14ac:dyDescent="0.2">
      <c r="B44" t="s">
        <v>132</v>
      </c>
      <c r="C44">
        <v>8855</v>
      </c>
      <c r="D44">
        <v>5594</v>
      </c>
      <c r="F44" t="s">
        <v>69</v>
      </c>
      <c r="G44">
        <v>8999</v>
      </c>
      <c r="H44">
        <v>388.2255806201</v>
      </c>
      <c r="I44">
        <v>6000</v>
      </c>
      <c r="J44">
        <v>2079</v>
      </c>
      <c r="K44">
        <v>11294</v>
      </c>
      <c r="L44">
        <v>7298</v>
      </c>
      <c r="M44">
        <v>3743</v>
      </c>
      <c r="N44">
        <v>3242</v>
      </c>
      <c r="O44">
        <v>1077</v>
      </c>
      <c r="P44">
        <v>693</v>
      </c>
      <c r="Q44">
        <v>0</v>
      </c>
      <c r="R44">
        <v>71</v>
      </c>
      <c r="AH44" t="s">
        <v>382</v>
      </c>
      <c r="AI44">
        <v>446</v>
      </c>
      <c r="AJ44">
        <v>228.7152466368</v>
      </c>
      <c r="AK44">
        <v>830</v>
      </c>
      <c r="AL44">
        <v>224</v>
      </c>
      <c r="AM44">
        <v>1180</v>
      </c>
      <c r="AN44">
        <v>467</v>
      </c>
      <c r="AO44">
        <v>368</v>
      </c>
      <c r="AP44">
        <v>148</v>
      </c>
      <c r="AQ44">
        <v>81</v>
      </c>
      <c r="AR44">
        <v>51</v>
      </c>
      <c r="AS44">
        <v>84</v>
      </c>
      <c r="AT44">
        <v>3</v>
      </c>
      <c r="AV44" t="s">
        <v>404</v>
      </c>
      <c r="AW44">
        <v>402</v>
      </c>
      <c r="AX44">
        <v>51.5472636816</v>
      </c>
      <c r="AY44">
        <v>614</v>
      </c>
      <c r="AZ44">
        <v>42</v>
      </c>
      <c r="BA44">
        <v>602</v>
      </c>
      <c r="BB44">
        <v>40</v>
      </c>
      <c r="BC44">
        <v>8</v>
      </c>
      <c r="BD44">
        <v>7</v>
      </c>
      <c r="BE44">
        <v>58</v>
      </c>
      <c r="BF44">
        <v>26</v>
      </c>
      <c r="BG44">
        <v>402</v>
      </c>
      <c r="BH44">
        <v>44</v>
      </c>
      <c r="BJ44" t="s">
        <v>560</v>
      </c>
      <c r="BK44" t="s">
        <v>379</v>
      </c>
      <c r="BL44">
        <v>19877</v>
      </c>
      <c r="BM44">
        <v>7219</v>
      </c>
      <c r="BN44" s="156">
        <v>124.25481712529999</v>
      </c>
      <c r="BO44">
        <v>40809</v>
      </c>
      <c r="BP44">
        <v>3534</v>
      </c>
      <c r="BQ44">
        <v>212.97806856330001</v>
      </c>
      <c r="BR44">
        <v>183.8070175439</v>
      </c>
      <c r="BS44">
        <v>14606</v>
      </c>
      <c r="BT44">
        <v>4332</v>
      </c>
      <c r="BU44">
        <v>110.92907024509999</v>
      </c>
      <c r="BV44">
        <v>29891</v>
      </c>
      <c r="BW44">
        <v>2431</v>
      </c>
      <c r="BX44">
        <v>220.0564383928</v>
      </c>
      <c r="BY44">
        <v>180.80625257099999</v>
      </c>
      <c r="CA44" t="s">
        <v>389</v>
      </c>
      <c r="CB44" t="s">
        <v>873</v>
      </c>
      <c r="CC44" t="s">
        <v>1016</v>
      </c>
      <c r="CD44">
        <v>2930</v>
      </c>
      <c r="CE44">
        <v>798</v>
      </c>
      <c r="CF44">
        <v>97.726279863499997</v>
      </c>
      <c r="CG44">
        <v>6758</v>
      </c>
      <c r="CH44">
        <v>653</v>
      </c>
      <c r="CI44">
        <v>152.1599585676</v>
      </c>
      <c r="CJ44">
        <v>135.51454823890001</v>
      </c>
      <c r="CL44" t="s">
        <v>389</v>
      </c>
      <c r="CM44" t="s">
        <v>842</v>
      </c>
      <c r="CN44" t="s">
        <v>856</v>
      </c>
      <c r="CO44">
        <v>116</v>
      </c>
      <c r="CP44">
        <v>16</v>
      </c>
      <c r="CQ44">
        <v>65.629310344800004</v>
      </c>
      <c r="CR44">
        <v>687</v>
      </c>
      <c r="CS44">
        <v>66</v>
      </c>
      <c r="CT44">
        <v>81.197962154300001</v>
      </c>
      <c r="CU44">
        <v>108.7121212121</v>
      </c>
      <c r="CW44" t="s">
        <v>389</v>
      </c>
      <c r="CX44" t="s">
        <v>858</v>
      </c>
      <c r="CY44" t="s">
        <v>872</v>
      </c>
      <c r="CZ44">
        <v>18</v>
      </c>
      <c r="DA44">
        <v>2</v>
      </c>
      <c r="DB44">
        <v>56.111111111100001</v>
      </c>
      <c r="DC44">
        <v>53</v>
      </c>
      <c r="DD44">
        <v>1</v>
      </c>
      <c r="DE44">
        <v>128.03773584909999</v>
      </c>
      <c r="DF44">
        <v>106</v>
      </c>
      <c r="DH44" t="s">
        <v>389</v>
      </c>
      <c r="DI44" t="s">
        <v>826</v>
      </c>
      <c r="DJ44" t="s">
        <v>840</v>
      </c>
      <c r="DK44">
        <v>14</v>
      </c>
      <c r="DL44">
        <v>4</v>
      </c>
      <c r="DM44">
        <v>73.428571428599994</v>
      </c>
      <c r="DN44">
        <v>51</v>
      </c>
      <c r="DO44">
        <v>9</v>
      </c>
      <c r="DP44">
        <v>160.5882352941</v>
      </c>
      <c r="DQ44">
        <v>160.55555555559999</v>
      </c>
    </row>
    <row r="45" spans="2:121" x14ac:dyDescent="0.2">
      <c r="B45" t="s">
        <v>106</v>
      </c>
      <c r="C45">
        <v>193</v>
      </c>
      <c r="D45">
        <v>191</v>
      </c>
      <c r="F45" t="s">
        <v>66</v>
      </c>
      <c r="G45">
        <v>5863</v>
      </c>
      <c r="H45">
        <v>426.65921882999999</v>
      </c>
      <c r="I45">
        <v>11112</v>
      </c>
      <c r="J45">
        <v>4102</v>
      </c>
      <c r="K45">
        <v>8654</v>
      </c>
      <c r="L45">
        <v>5560</v>
      </c>
      <c r="M45">
        <v>1224</v>
      </c>
      <c r="N45">
        <v>399</v>
      </c>
      <c r="O45">
        <v>7306</v>
      </c>
      <c r="P45">
        <v>4622</v>
      </c>
      <c r="Q45">
        <v>6382</v>
      </c>
      <c r="R45">
        <v>0</v>
      </c>
      <c r="AH45" t="s">
        <v>393</v>
      </c>
      <c r="AI45">
        <v>11616</v>
      </c>
      <c r="AJ45">
        <v>327.09529958680002</v>
      </c>
      <c r="AK45">
        <v>10615</v>
      </c>
      <c r="AL45">
        <v>3328</v>
      </c>
      <c r="AM45">
        <v>16362</v>
      </c>
      <c r="AN45">
        <v>11332</v>
      </c>
      <c r="AO45">
        <v>1632</v>
      </c>
      <c r="AP45">
        <v>1192</v>
      </c>
      <c r="AQ45">
        <v>2616</v>
      </c>
      <c r="AR45">
        <v>1598</v>
      </c>
      <c r="AS45">
        <v>337</v>
      </c>
      <c r="AT45">
        <v>61</v>
      </c>
      <c r="AV45" t="s">
        <v>431</v>
      </c>
      <c r="AW45">
        <v>19</v>
      </c>
      <c r="AX45">
        <v>37.578947368400001</v>
      </c>
      <c r="AY45">
        <v>33</v>
      </c>
      <c r="AZ45">
        <v>1</v>
      </c>
      <c r="BA45">
        <v>32</v>
      </c>
      <c r="BB45">
        <v>4</v>
      </c>
      <c r="BC45">
        <v>0</v>
      </c>
      <c r="BE45">
        <v>0</v>
      </c>
      <c r="BG45">
        <v>24</v>
      </c>
      <c r="BH45">
        <v>2</v>
      </c>
      <c r="BJ45" t="s">
        <v>8</v>
      </c>
      <c r="BK45" t="s">
        <v>8</v>
      </c>
      <c r="BL45">
        <v>846</v>
      </c>
      <c r="BM45">
        <v>286</v>
      </c>
      <c r="BN45" s="156">
        <v>111.78959810870001</v>
      </c>
      <c r="BO45">
        <v>613</v>
      </c>
      <c r="BP45">
        <v>88</v>
      </c>
      <c r="BQ45">
        <v>217.9053833605</v>
      </c>
      <c r="BR45">
        <v>165.5340909091</v>
      </c>
      <c r="BS45">
        <v>124</v>
      </c>
      <c r="BT45">
        <v>17</v>
      </c>
      <c r="BU45">
        <v>67.75</v>
      </c>
      <c r="BV45">
        <v>4896</v>
      </c>
      <c r="BW45">
        <v>30</v>
      </c>
      <c r="BX45">
        <v>186.6049836601</v>
      </c>
      <c r="BY45">
        <v>176.36666666670001</v>
      </c>
      <c r="CA45" t="s">
        <v>379</v>
      </c>
      <c r="CB45" t="s">
        <v>873</v>
      </c>
      <c r="CD45">
        <v>78114</v>
      </c>
      <c r="CE45">
        <v>28595</v>
      </c>
      <c r="CF45">
        <v>127.0328366234</v>
      </c>
      <c r="CG45">
        <v>183027</v>
      </c>
      <c r="CH45">
        <v>15323</v>
      </c>
      <c r="CI45">
        <v>202.9433690111</v>
      </c>
      <c r="CJ45">
        <v>181.99601905630001</v>
      </c>
      <c r="CL45" t="s">
        <v>379</v>
      </c>
      <c r="CM45" t="s">
        <v>842</v>
      </c>
      <c r="CO45">
        <v>3714</v>
      </c>
      <c r="CP45">
        <v>543</v>
      </c>
      <c r="CQ45">
        <v>72.707592891800005</v>
      </c>
      <c r="CR45">
        <v>21316</v>
      </c>
      <c r="CS45">
        <v>1689</v>
      </c>
      <c r="CT45">
        <v>74.636751735800004</v>
      </c>
      <c r="CU45">
        <v>72.879810538800001</v>
      </c>
      <c r="CW45" t="s">
        <v>379</v>
      </c>
      <c r="CX45" t="s">
        <v>858</v>
      </c>
      <c r="CZ45">
        <v>1834</v>
      </c>
      <c r="DA45">
        <v>326</v>
      </c>
      <c r="DB45">
        <v>76.178844056700001</v>
      </c>
      <c r="DC45">
        <v>4044</v>
      </c>
      <c r="DD45">
        <v>311</v>
      </c>
      <c r="DE45">
        <v>141.30514342239999</v>
      </c>
      <c r="DF45">
        <v>134.52090032149999</v>
      </c>
      <c r="DH45" t="s">
        <v>379</v>
      </c>
      <c r="DI45" t="s">
        <v>826</v>
      </c>
      <c r="DK45">
        <v>2273</v>
      </c>
      <c r="DL45">
        <v>391</v>
      </c>
      <c r="DM45">
        <v>77.651561812599994</v>
      </c>
      <c r="DN45">
        <v>4158</v>
      </c>
      <c r="DO45">
        <v>375</v>
      </c>
      <c r="DP45">
        <v>138.88239538240001</v>
      </c>
      <c r="DQ45">
        <v>140.7866666667</v>
      </c>
    </row>
    <row r="46" spans="2:121" x14ac:dyDescent="0.2">
      <c r="B46" t="s">
        <v>114</v>
      </c>
      <c r="C46">
        <v>551</v>
      </c>
      <c r="D46">
        <v>490</v>
      </c>
      <c r="F46" t="s">
        <v>81</v>
      </c>
      <c r="G46">
        <v>1126</v>
      </c>
      <c r="H46">
        <v>267.48401420959999</v>
      </c>
      <c r="I46">
        <v>1209</v>
      </c>
      <c r="J46">
        <v>285</v>
      </c>
      <c r="K46">
        <v>1739</v>
      </c>
      <c r="L46">
        <v>960</v>
      </c>
      <c r="M46">
        <v>623</v>
      </c>
      <c r="N46">
        <v>508</v>
      </c>
      <c r="O46">
        <v>968</v>
      </c>
      <c r="P46">
        <v>887</v>
      </c>
      <c r="Q46">
        <v>0</v>
      </c>
      <c r="R46">
        <v>0</v>
      </c>
      <c r="AH46" t="s">
        <v>430</v>
      </c>
      <c r="AI46">
        <v>1060</v>
      </c>
      <c r="AJ46">
        <v>106.7820754717</v>
      </c>
      <c r="AK46">
        <v>976</v>
      </c>
      <c r="AL46">
        <v>265</v>
      </c>
      <c r="AM46">
        <v>1318</v>
      </c>
      <c r="AN46">
        <v>291</v>
      </c>
      <c r="AO46">
        <v>791</v>
      </c>
      <c r="AP46">
        <v>101</v>
      </c>
      <c r="AQ46">
        <v>115</v>
      </c>
      <c r="AR46">
        <v>44</v>
      </c>
      <c r="AS46">
        <v>0</v>
      </c>
      <c r="AT46">
        <v>1</v>
      </c>
      <c r="AV46" t="s">
        <v>399</v>
      </c>
      <c r="AW46">
        <v>230</v>
      </c>
      <c r="AX46">
        <v>70.186956521699997</v>
      </c>
      <c r="AY46">
        <v>222</v>
      </c>
      <c r="AZ46">
        <v>13</v>
      </c>
      <c r="BA46">
        <v>353</v>
      </c>
      <c r="BB46">
        <v>40</v>
      </c>
      <c r="BC46">
        <v>4</v>
      </c>
      <c r="BD46">
        <v>4</v>
      </c>
      <c r="BE46">
        <v>39</v>
      </c>
      <c r="BF46">
        <v>7</v>
      </c>
      <c r="BG46">
        <v>201</v>
      </c>
      <c r="BH46">
        <v>23</v>
      </c>
      <c r="BJ46" t="s">
        <v>703</v>
      </c>
      <c r="BK46" t="s">
        <v>8</v>
      </c>
      <c r="BL46">
        <v>846</v>
      </c>
      <c r="BM46">
        <v>286</v>
      </c>
      <c r="BN46" s="156">
        <v>111.78959810870001</v>
      </c>
      <c r="BO46">
        <v>613</v>
      </c>
      <c r="BP46">
        <v>88</v>
      </c>
      <c r="BQ46">
        <v>217.9053833605</v>
      </c>
      <c r="BR46">
        <v>165.5340909091</v>
      </c>
      <c r="BS46">
        <v>124</v>
      </c>
      <c r="BT46">
        <v>17</v>
      </c>
      <c r="BU46">
        <v>67.75</v>
      </c>
      <c r="BV46">
        <v>4896</v>
      </c>
      <c r="BW46">
        <v>30</v>
      </c>
      <c r="BX46">
        <v>186.6049836601</v>
      </c>
      <c r="BY46">
        <v>176.36666666670001</v>
      </c>
      <c r="CA46" t="s">
        <v>8</v>
      </c>
      <c r="CB46" t="s">
        <v>703</v>
      </c>
      <c r="CC46" t="s">
        <v>703</v>
      </c>
      <c r="CD46">
        <v>4153</v>
      </c>
      <c r="CE46">
        <v>1983</v>
      </c>
      <c r="CF46">
        <v>162.84469058510001</v>
      </c>
      <c r="CG46">
        <v>7514</v>
      </c>
      <c r="CH46">
        <v>619</v>
      </c>
      <c r="CI46">
        <v>210.91695501730001</v>
      </c>
      <c r="CJ46">
        <v>188.94830371570001</v>
      </c>
      <c r="CL46" t="s">
        <v>8</v>
      </c>
      <c r="CM46" t="s">
        <v>875</v>
      </c>
      <c r="CN46" t="s">
        <v>875</v>
      </c>
      <c r="CO46">
        <v>204</v>
      </c>
      <c r="CP46">
        <v>49</v>
      </c>
      <c r="CQ46">
        <v>101.5735294118</v>
      </c>
      <c r="CR46">
        <v>791</v>
      </c>
      <c r="CS46">
        <v>49</v>
      </c>
      <c r="CT46">
        <v>95.494310998700001</v>
      </c>
      <c r="CU46">
        <v>90.244897959200003</v>
      </c>
      <c r="CW46" t="s">
        <v>8</v>
      </c>
      <c r="CX46" t="s">
        <v>876</v>
      </c>
      <c r="CY46" t="s">
        <v>876</v>
      </c>
      <c r="CZ46">
        <v>20</v>
      </c>
      <c r="DA46">
        <v>6</v>
      </c>
      <c r="DB46">
        <v>111.6</v>
      </c>
      <c r="DC46">
        <v>49</v>
      </c>
      <c r="DD46">
        <v>4</v>
      </c>
      <c r="DE46">
        <v>141.3265306122</v>
      </c>
      <c r="DF46">
        <v>124.25</v>
      </c>
      <c r="DH46" t="s">
        <v>8</v>
      </c>
      <c r="DI46" t="s">
        <v>874</v>
      </c>
      <c r="DJ46" t="s">
        <v>874</v>
      </c>
      <c r="DK46">
        <v>59</v>
      </c>
      <c r="DL46">
        <v>10</v>
      </c>
      <c r="DM46">
        <v>72.898305084699999</v>
      </c>
      <c r="DN46">
        <v>154</v>
      </c>
      <c r="DO46">
        <v>11</v>
      </c>
      <c r="DP46">
        <v>152.33766233770001</v>
      </c>
      <c r="DQ46">
        <v>127.45454545450001</v>
      </c>
    </row>
    <row r="47" spans="2:121" x14ac:dyDescent="0.2">
      <c r="B47" t="s">
        <v>107</v>
      </c>
      <c r="C47">
        <v>16630</v>
      </c>
      <c r="D47">
        <v>12667</v>
      </c>
      <c r="F47" t="s">
        <v>84</v>
      </c>
      <c r="G47">
        <v>1836</v>
      </c>
      <c r="H47">
        <v>112.1492374728</v>
      </c>
      <c r="I47">
        <v>2587</v>
      </c>
      <c r="J47">
        <v>740</v>
      </c>
      <c r="K47">
        <v>2718</v>
      </c>
      <c r="L47">
        <v>971</v>
      </c>
      <c r="M47">
        <v>283</v>
      </c>
      <c r="N47">
        <v>149</v>
      </c>
      <c r="O47">
        <v>151</v>
      </c>
      <c r="P47">
        <v>113</v>
      </c>
      <c r="Q47">
        <v>0</v>
      </c>
      <c r="R47">
        <v>11</v>
      </c>
      <c r="AH47" t="s">
        <v>394</v>
      </c>
      <c r="AI47">
        <v>7371</v>
      </c>
      <c r="AJ47">
        <v>264.01071767740001</v>
      </c>
      <c r="AK47">
        <v>9905</v>
      </c>
      <c r="AL47">
        <v>3009</v>
      </c>
      <c r="AM47">
        <v>10242</v>
      </c>
      <c r="AN47">
        <v>5856</v>
      </c>
      <c r="AO47">
        <v>1232</v>
      </c>
      <c r="AP47">
        <v>1063</v>
      </c>
      <c r="AQ47">
        <v>1594</v>
      </c>
      <c r="AR47">
        <v>950</v>
      </c>
      <c r="AS47">
        <v>40</v>
      </c>
      <c r="AT47">
        <v>205</v>
      </c>
      <c r="AV47" t="s">
        <v>433</v>
      </c>
      <c r="AW47">
        <v>58</v>
      </c>
      <c r="AX47">
        <v>112.60344827590001</v>
      </c>
      <c r="AY47">
        <v>69</v>
      </c>
      <c r="AZ47">
        <v>17</v>
      </c>
      <c r="BA47">
        <v>85</v>
      </c>
      <c r="BB47">
        <v>30</v>
      </c>
      <c r="BC47">
        <v>6</v>
      </c>
      <c r="BD47">
        <v>6</v>
      </c>
      <c r="BE47">
        <v>44</v>
      </c>
      <c r="BF47">
        <v>5</v>
      </c>
      <c r="BG47">
        <v>9</v>
      </c>
      <c r="BH47">
        <v>20</v>
      </c>
      <c r="BJ47" t="s">
        <v>603</v>
      </c>
      <c r="BK47" t="s">
        <v>414</v>
      </c>
      <c r="BL47">
        <v>3231</v>
      </c>
      <c r="BM47">
        <v>1145</v>
      </c>
      <c r="BN47" s="156">
        <v>118.3082636955</v>
      </c>
      <c r="BO47">
        <v>6287</v>
      </c>
      <c r="BP47">
        <v>523</v>
      </c>
      <c r="BQ47">
        <v>180.50787338949999</v>
      </c>
      <c r="BR47">
        <v>173.08604206499999</v>
      </c>
      <c r="BS47">
        <v>3157</v>
      </c>
      <c r="BT47">
        <v>1077</v>
      </c>
      <c r="BU47">
        <v>116.9528032943</v>
      </c>
      <c r="BV47">
        <v>6409</v>
      </c>
      <c r="BW47">
        <v>515</v>
      </c>
      <c r="BX47">
        <v>183.2510532064</v>
      </c>
      <c r="BY47">
        <v>175.2330097087</v>
      </c>
      <c r="CA47" t="s">
        <v>8</v>
      </c>
      <c r="CB47" t="s">
        <v>703</v>
      </c>
      <c r="CC47" t="s">
        <v>703</v>
      </c>
      <c r="CD47">
        <v>4153</v>
      </c>
      <c r="CE47">
        <v>1983</v>
      </c>
      <c r="CF47">
        <v>162.84469058510001</v>
      </c>
      <c r="CG47">
        <v>7514</v>
      </c>
      <c r="CH47">
        <v>619</v>
      </c>
      <c r="CI47">
        <v>210.91695501730001</v>
      </c>
      <c r="CJ47">
        <v>188.94830371570001</v>
      </c>
      <c r="CL47" t="s">
        <v>8</v>
      </c>
      <c r="CM47" t="s">
        <v>875</v>
      </c>
      <c r="CN47" t="s">
        <v>875</v>
      </c>
      <c r="CO47">
        <v>204</v>
      </c>
      <c r="CP47">
        <v>49</v>
      </c>
      <c r="CQ47">
        <v>101.5735294118</v>
      </c>
      <c r="CR47">
        <v>791</v>
      </c>
      <c r="CS47">
        <v>49</v>
      </c>
      <c r="CT47">
        <v>95.494310998700001</v>
      </c>
      <c r="CU47">
        <v>90.244897959200003</v>
      </c>
      <c r="CW47" t="s">
        <v>8</v>
      </c>
      <c r="CX47" t="s">
        <v>876</v>
      </c>
      <c r="CY47" t="s">
        <v>876</v>
      </c>
      <c r="CZ47">
        <v>20</v>
      </c>
      <c r="DA47">
        <v>6</v>
      </c>
      <c r="DB47">
        <v>111.6</v>
      </c>
      <c r="DC47">
        <v>49</v>
      </c>
      <c r="DD47">
        <v>4</v>
      </c>
      <c r="DE47">
        <v>141.3265306122</v>
      </c>
      <c r="DF47">
        <v>124.25</v>
      </c>
      <c r="DH47" t="s">
        <v>8</v>
      </c>
      <c r="DI47" t="s">
        <v>874</v>
      </c>
      <c r="DJ47" t="s">
        <v>874</v>
      </c>
      <c r="DK47">
        <v>59</v>
      </c>
      <c r="DL47">
        <v>10</v>
      </c>
      <c r="DM47">
        <v>72.898305084699999</v>
      </c>
      <c r="DN47">
        <v>154</v>
      </c>
      <c r="DO47">
        <v>11</v>
      </c>
      <c r="DP47">
        <v>152.33766233770001</v>
      </c>
      <c r="DQ47">
        <v>127.45454545450001</v>
      </c>
    </row>
    <row r="48" spans="2:121" x14ac:dyDescent="0.2">
      <c r="B48" t="s">
        <v>123</v>
      </c>
      <c r="C48">
        <v>3740</v>
      </c>
      <c r="D48">
        <v>621</v>
      </c>
      <c r="F48" t="s">
        <v>56</v>
      </c>
      <c r="G48">
        <v>9435</v>
      </c>
      <c r="H48">
        <v>444.37668256490002</v>
      </c>
      <c r="I48">
        <v>7187</v>
      </c>
      <c r="J48">
        <v>3877</v>
      </c>
      <c r="K48">
        <v>13043</v>
      </c>
      <c r="L48">
        <v>8878</v>
      </c>
      <c r="M48">
        <v>1788</v>
      </c>
      <c r="N48">
        <v>1706</v>
      </c>
      <c r="O48">
        <v>1687</v>
      </c>
      <c r="P48">
        <v>835</v>
      </c>
      <c r="Q48">
        <v>79</v>
      </c>
      <c r="R48">
        <v>241</v>
      </c>
      <c r="AH48" t="s">
        <v>420</v>
      </c>
      <c r="AI48">
        <v>32386</v>
      </c>
      <c r="AJ48">
        <v>331.89300932499998</v>
      </c>
      <c r="AK48">
        <v>40355</v>
      </c>
      <c r="AL48">
        <v>15163</v>
      </c>
      <c r="AM48">
        <v>44296</v>
      </c>
      <c r="AN48">
        <v>27210</v>
      </c>
      <c r="AO48">
        <v>4083</v>
      </c>
      <c r="AP48">
        <v>3173</v>
      </c>
      <c r="AQ48">
        <v>10389</v>
      </c>
      <c r="AR48">
        <v>6978</v>
      </c>
      <c r="AS48">
        <v>19</v>
      </c>
      <c r="AT48">
        <v>441</v>
      </c>
      <c r="AV48" t="s">
        <v>429</v>
      </c>
      <c r="AW48">
        <v>26</v>
      </c>
      <c r="AX48">
        <v>39.846153846199996</v>
      </c>
      <c r="AY48">
        <v>26</v>
      </c>
      <c r="BA48">
        <v>41</v>
      </c>
      <c r="BC48">
        <v>1</v>
      </c>
      <c r="BD48">
        <v>1</v>
      </c>
      <c r="BE48">
        <v>0</v>
      </c>
      <c r="BG48">
        <v>36</v>
      </c>
      <c r="BH48">
        <v>6</v>
      </c>
      <c r="BJ48" t="s">
        <v>662</v>
      </c>
      <c r="BK48" t="s">
        <v>414</v>
      </c>
      <c r="BL48">
        <v>1035</v>
      </c>
      <c r="BM48">
        <v>132</v>
      </c>
      <c r="BN48" s="156">
        <v>79.2019323671</v>
      </c>
      <c r="BO48">
        <v>2475</v>
      </c>
      <c r="BP48">
        <v>220</v>
      </c>
      <c r="BQ48">
        <v>149.99070707070001</v>
      </c>
      <c r="BR48">
        <v>119.4363636364</v>
      </c>
      <c r="BS48">
        <v>982</v>
      </c>
      <c r="BT48">
        <v>131</v>
      </c>
      <c r="BU48">
        <v>80.838085539700003</v>
      </c>
      <c r="BV48">
        <v>2452</v>
      </c>
      <c r="BW48">
        <v>211</v>
      </c>
      <c r="BX48">
        <v>151.30709624799999</v>
      </c>
      <c r="BY48">
        <v>120.8104265403</v>
      </c>
      <c r="CA48" t="s">
        <v>8</v>
      </c>
      <c r="CB48" t="s">
        <v>703</v>
      </c>
      <c r="CC48" t="s">
        <v>703</v>
      </c>
      <c r="CD48">
        <v>4153</v>
      </c>
      <c r="CE48">
        <v>1983</v>
      </c>
      <c r="CF48">
        <v>162.84469058510001</v>
      </c>
      <c r="CG48">
        <v>7514</v>
      </c>
      <c r="CH48">
        <v>619</v>
      </c>
      <c r="CI48">
        <v>210.91695501730001</v>
      </c>
      <c r="CJ48">
        <v>188.94830371570001</v>
      </c>
      <c r="CL48" t="s">
        <v>8</v>
      </c>
      <c r="CM48" t="s">
        <v>875</v>
      </c>
      <c r="CN48" t="s">
        <v>875</v>
      </c>
      <c r="CO48">
        <v>204</v>
      </c>
      <c r="CP48">
        <v>49</v>
      </c>
      <c r="CQ48">
        <v>101.5735294118</v>
      </c>
      <c r="CR48">
        <v>791</v>
      </c>
      <c r="CS48">
        <v>49</v>
      </c>
      <c r="CT48">
        <v>95.494310998700001</v>
      </c>
      <c r="CU48">
        <v>90.244897959200003</v>
      </c>
      <c r="CW48" t="s">
        <v>8</v>
      </c>
      <c r="CX48" t="s">
        <v>876</v>
      </c>
      <c r="CY48" t="s">
        <v>876</v>
      </c>
      <c r="CZ48">
        <v>20</v>
      </c>
      <c r="DA48">
        <v>6</v>
      </c>
      <c r="DB48">
        <v>111.6</v>
      </c>
      <c r="DC48">
        <v>49</v>
      </c>
      <c r="DD48">
        <v>4</v>
      </c>
      <c r="DE48">
        <v>141.3265306122</v>
      </c>
      <c r="DF48">
        <v>124.25</v>
      </c>
      <c r="DH48" t="s">
        <v>8</v>
      </c>
      <c r="DI48" t="s">
        <v>874</v>
      </c>
      <c r="DJ48" t="s">
        <v>874</v>
      </c>
      <c r="DK48">
        <v>59</v>
      </c>
      <c r="DL48">
        <v>10</v>
      </c>
      <c r="DM48">
        <v>72.898305084699999</v>
      </c>
      <c r="DN48">
        <v>154</v>
      </c>
      <c r="DO48">
        <v>11</v>
      </c>
      <c r="DP48">
        <v>152.33766233770001</v>
      </c>
      <c r="DQ48">
        <v>127.45454545450001</v>
      </c>
    </row>
    <row r="49" spans="2:121" x14ac:dyDescent="0.2">
      <c r="B49" t="s">
        <v>21</v>
      </c>
      <c r="C49">
        <v>41936</v>
      </c>
      <c r="D49">
        <v>17776</v>
      </c>
      <c r="F49" t="s">
        <v>43</v>
      </c>
      <c r="G49">
        <v>7221</v>
      </c>
      <c r="H49">
        <v>456.78174768039997</v>
      </c>
      <c r="I49">
        <v>7912</v>
      </c>
      <c r="J49">
        <v>3589</v>
      </c>
      <c r="K49">
        <v>9488</v>
      </c>
      <c r="L49">
        <v>6806</v>
      </c>
      <c r="M49">
        <v>2094</v>
      </c>
      <c r="N49">
        <v>1827</v>
      </c>
      <c r="O49">
        <v>4987</v>
      </c>
      <c r="P49">
        <v>3216</v>
      </c>
      <c r="Q49">
        <v>1</v>
      </c>
      <c r="R49">
        <v>54</v>
      </c>
      <c r="AH49" t="s">
        <v>416</v>
      </c>
      <c r="AI49">
        <v>2902</v>
      </c>
      <c r="AJ49">
        <v>277.85837353549999</v>
      </c>
      <c r="AK49">
        <v>1948</v>
      </c>
      <c r="AL49">
        <v>534</v>
      </c>
      <c r="AM49">
        <v>4130</v>
      </c>
      <c r="AN49">
        <v>2105</v>
      </c>
      <c r="AO49">
        <v>583</v>
      </c>
      <c r="AP49">
        <v>406</v>
      </c>
      <c r="AQ49">
        <v>231</v>
      </c>
      <c r="AR49">
        <v>134</v>
      </c>
      <c r="AS49">
        <v>0</v>
      </c>
      <c r="AT49">
        <v>4</v>
      </c>
      <c r="AV49" t="s">
        <v>388</v>
      </c>
      <c r="AW49">
        <v>703</v>
      </c>
      <c r="AX49">
        <v>92.844950213399997</v>
      </c>
      <c r="AY49">
        <v>588</v>
      </c>
      <c r="AZ49">
        <v>113</v>
      </c>
      <c r="BA49">
        <v>1113</v>
      </c>
      <c r="BB49">
        <v>244</v>
      </c>
      <c r="BC49">
        <v>162</v>
      </c>
      <c r="BD49">
        <v>162</v>
      </c>
      <c r="BE49">
        <v>285</v>
      </c>
      <c r="BF49">
        <v>42</v>
      </c>
      <c r="BG49">
        <v>154</v>
      </c>
      <c r="BH49">
        <v>209</v>
      </c>
      <c r="BJ49" t="s">
        <v>618</v>
      </c>
      <c r="BK49" t="s">
        <v>414</v>
      </c>
      <c r="BL49">
        <v>1582</v>
      </c>
      <c r="BM49">
        <v>420</v>
      </c>
      <c r="BN49" s="156">
        <v>99.641592920400001</v>
      </c>
      <c r="BO49">
        <v>3503</v>
      </c>
      <c r="BP49">
        <v>255</v>
      </c>
      <c r="BQ49">
        <v>147.0670853554</v>
      </c>
      <c r="BR49">
        <v>139.8117647059</v>
      </c>
      <c r="BS49">
        <v>2035</v>
      </c>
      <c r="BT49">
        <v>880</v>
      </c>
      <c r="BU49">
        <v>130.342014742</v>
      </c>
      <c r="BV49">
        <v>4679</v>
      </c>
      <c r="BW49">
        <v>381</v>
      </c>
      <c r="BX49">
        <v>163.43855524680001</v>
      </c>
      <c r="BY49">
        <v>169.8031496063</v>
      </c>
      <c r="CA49" t="s">
        <v>8</v>
      </c>
      <c r="CB49" t="s">
        <v>703</v>
      </c>
      <c r="CD49">
        <v>4153</v>
      </c>
      <c r="CE49">
        <v>1983</v>
      </c>
      <c r="CF49">
        <v>162.84469058510001</v>
      </c>
      <c r="CG49">
        <v>7514</v>
      </c>
      <c r="CH49">
        <v>619</v>
      </c>
      <c r="CI49">
        <v>210.91695501730001</v>
      </c>
      <c r="CJ49">
        <v>188.94830371570001</v>
      </c>
      <c r="CL49" t="s">
        <v>8</v>
      </c>
      <c r="CM49" t="s">
        <v>875</v>
      </c>
      <c r="CO49">
        <v>204</v>
      </c>
      <c r="CP49">
        <v>49</v>
      </c>
      <c r="CQ49">
        <v>101.5735294118</v>
      </c>
      <c r="CR49">
        <v>791</v>
      </c>
      <c r="CS49">
        <v>49</v>
      </c>
      <c r="CT49">
        <v>95.494310998700001</v>
      </c>
      <c r="CU49">
        <v>90.244897959200003</v>
      </c>
      <c r="CW49" t="s">
        <v>8</v>
      </c>
      <c r="CX49" t="s">
        <v>876</v>
      </c>
      <c r="CZ49">
        <v>20</v>
      </c>
      <c r="DA49">
        <v>6</v>
      </c>
      <c r="DB49">
        <v>111.6</v>
      </c>
      <c r="DC49">
        <v>49</v>
      </c>
      <c r="DD49">
        <v>4</v>
      </c>
      <c r="DE49">
        <v>141.3265306122</v>
      </c>
      <c r="DF49">
        <v>124.25</v>
      </c>
      <c r="DH49" t="s">
        <v>8</v>
      </c>
      <c r="DI49" t="s">
        <v>874</v>
      </c>
      <c r="DK49">
        <v>59</v>
      </c>
      <c r="DL49">
        <v>10</v>
      </c>
      <c r="DM49">
        <v>72.898305084699999</v>
      </c>
      <c r="DN49">
        <v>154</v>
      </c>
      <c r="DO49">
        <v>11</v>
      </c>
      <c r="DP49">
        <v>152.33766233770001</v>
      </c>
      <c r="DQ49">
        <v>127.45454545450001</v>
      </c>
    </row>
    <row r="50" spans="2:121" x14ac:dyDescent="0.2">
      <c r="B50" t="s">
        <v>104</v>
      </c>
      <c r="C50">
        <v>227508</v>
      </c>
      <c r="D50">
        <v>172409</v>
      </c>
      <c r="F50" t="s">
        <v>51</v>
      </c>
      <c r="G50">
        <v>8271</v>
      </c>
      <c r="H50">
        <v>488.5171079676</v>
      </c>
      <c r="I50">
        <v>5370</v>
      </c>
      <c r="J50">
        <v>1943</v>
      </c>
      <c r="K50">
        <v>13790</v>
      </c>
      <c r="L50">
        <v>7840</v>
      </c>
      <c r="M50">
        <v>1111</v>
      </c>
      <c r="N50">
        <v>982</v>
      </c>
      <c r="O50">
        <v>1771</v>
      </c>
      <c r="P50">
        <v>1254</v>
      </c>
      <c r="Q50">
        <v>3</v>
      </c>
      <c r="R50">
        <v>205</v>
      </c>
      <c r="AH50" t="s">
        <v>427</v>
      </c>
      <c r="AI50">
        <v>566</v>
      </c>
      <c r="AJ50">
        <v>378.21908127210003</v>
      </c>
      <c r="AK50">
        <v>425</v>
      </c>
      <c r="AL50">
        <v>126</v>
      </c>
      <c r="AM50">
        <v>851</v>
      </c>
      <c r="AN50">
        <v>507</v>
      </c>
      <c r="AO50">
        <v>105</v>
      </c>
      <c r="AP50">
        <v>93</v>
      </c>
      <c r="AQ50">
        <v>94</v>
      </c>
      <c r="AR50">
        <v>71</v>
      </c>
      <c r="AS50">
        <v>28</v>
      </c>
      <c r="AT50">
        <v>1</v>
      </c>
      <c r="AV50" t="s">
        <v>383</v>
      </c>
      <c r="AW50">
        <v>135</v>
      </c>
      <c r="AX50">
        <v>101.4814814815</v>
      </c>
      <c r="AY50">
        <v>244</v>
      </c>
      <c r="AZ50">
        <v>40</v>
      </c>
      <c r="BA50">
        <v>221</v>
      </c>
      <c r="BB50">
        <v>70</v>
      </c>
      <c r="BC50">
        <v>9</v>
      </c>
      <c r="BD50">
        <v>9</v>
      </c>
      <c r="BE50">
        <v>80</v>
      </c>
      <c r="BF50">
        <v>8</v>
      </c>
      <c r="BG50">
        <v>25</v>
      </c>
      <c r="BH50">
        <v>58</v>
      </c>
      <c r="BJ50" t="s">
        <v>658</v>
      </c>
      <c r="BK50" t="s">
        <v>414</v>
      </c>
      <c r="BL50">
        <v>2654</v>
      </c>
      <c r="BM50">
        <v>946</v>
      </c>
      <c r="BN50" s="156">
        <v>123.8172569706</v>
      </c>
      <c r="BO50">
        <v>6179</v>
      </c>
      <c r="BP50">
        <v>555</v>
      </c>
      <c r="BQ50">
        <v>202.17705130280001</v>
      </c>
      <c r="BR50">
        <v>171.38918918920001</v>
      </c>
      <c r="BS50">
        <v>2155</v>
      </c>
      <c r="BT50">
        <v>723</v>
      </c>
      <c r="BU50">
        <v>115.9851508121</v>
      </c>
      <c r="BV50">
        <v>5090</v>
      </c>
      <c r="BW50">
        <v>443</v>
      </c>
      <c r="BX50">
        <v>197.49666011790001</v>
      </c>
      <c r="BY50">
        <v>160.8306997743</v>
      </c>
      <c r="CA50" t="s">
        <v>434</v>
      </c>
      <c r="CB50" t="s">
        <v>907</v>
      </c>
      <c r="CC50" t="s">
        <v>1038</v>
      </c>
      <c r="CD50">
        <v>1093</v>
      </c>
      <c r="CE50">
        <v>175</v>
      </c>
      <c r="CF50">
        <v>84.660567246100001</v>
      </c>
      <c r="CG50">
        <v>3201</v>
      </c>
      <c r="CH50">
        <v>278</v>
      </c>
      <c r="CI50">
        <v>132.01905654480001</v>
      </c>
      <c r="CJ50">
        <v>111.78057553959999</v>
      </c>
      <c r="CL50" t="s">
        <v>434</v>
      </c>
      <c r="CM50" t="s">
        <v>888</v>
      </c>
      <c r="CN50" t="s">
        <v>887</v>
      </c>
      <c r="CO50">
        <v>29</v>
      </c>
      <c r="CP50">
        <v>4</v>
      </c>
      <c r="CQ50">
        <v>65.655172413800003</v>
      </c>
      <c r="CR50">
        <v>166</v>
      </c>
      <c r="CS50">
        <v>16</v>
      </c>
      <c r="CT50">
        <v>58.234939759</v>
      </c>
      <c r="CU50">
        <v>52</v>
      </c>
      <c r="CW50" t="s">
        <v>434</v>
      </c>
      <c r="CX50" t="s">
        <v>898</v>
      </c>
      <c r="CY50" t="s">
        <v>897</v>
      </c>
      <c r="CZ50">
        <v>26</v>
      </c>
      <c r="DA50">
        <v>6</v>
      </c>
      <c r="DB50">
        <v>78.846153846199996</v>
      </c>
      <c r="DC50">
        <v>76</v>
      </c>
      <c r="DD50">
        <v>8</v>
      </c>
      <c r="DE50">
        <v>124.6184210526</v>
      </c>
      <c r="DF50">
        <v>117.25</v>
      </c>
      <c r="DH50" t="s">
        <v>434</v>
      </c>
      <c r="DI50" t="s">
        <v>878</v>
      </c>
      <c r="DJ50" t="s">
        <v>877</v>
      </c>
      <c r="DK50">
        <v>45</v>
      </c>
      <c r="DL50">
        <v>9</v>
      </c>
      <c r="DM50">
        <v>79.622222222199994</v>
      </c>
      <c r="DN50">
        <v>92</v>
      </c>
      <c r="DO50">
        <v>4</v>
      </c>
      <c r="DP50">
        <v>179.40217391300001</v>
      </c>
      <c r="DQ50">
        <v>150</v>
      </c>
    </row>
    <row r="51" spans="2:121" x14ac:dyDescent="0.2">
      <c r="B51" t="s">
        <v>131</v>
      </c>
      <c r="C51">
        <v>17794</v>
      </c>
      <c r="D51">
        <v>1927</v>
      </c>
      <c r="F51" t="s">
        <v>440</v>
      </c>
      <c r="G51">
        <v>46440</v>
      </c>
      <c r="H51">
        <v>404.39274332470001</v>
      </c>
      <c r="I51">
        <v>1041</v>
      </c>
      <c r="J51">
        <v>351</v>
      </c>
      <c r="K51">
        <v>47020</v>
      </c>
      <c r="L51">
        <v>42651</v>
      </c>
      <c r="M51">
        <v>120</v>
      </c>
      <c r="N51">
        <v>115</v>
      </c>
      <c r="O51">
        <v>781</v>
      </c>
      <c r="P51">
        <v>745</v>
      </c>
      <c r="Q51">
        <v>0</v>
      </c>
      <c r="R51">
        <v>2</v>
      </c>
      <c r="AH51" t="s">
        <v>388</v>
      </c>
      <c r="AI51">
        <v>19591</v>
      </c>
      <c r="AJ51">
        <v>395.13628707060002</v>
      </c>
      <c r="AK51">
        <v>13201</v>
      </c>
      <c r="AL51">
        <v>4598</v>
      </c>
      <c r="AM51">
        <v>23987</v>
      </c>
      <c r="AN51">
        <v>17016</v>
      </c>
      <c r="AO51">
        <v>2981</v>
      </c>
      <c r="AP51">
        <v>2370</v>
      </c>
      <c r="AQ51">
        <v>5618</v>
      </c>
      <c r="AR51">
        <v>4455</v>
      </c>
      <c r="AS51">
        <v>518</v>
      </c>
      <c r="AT51">
        <v>38</v>
      </c>
      <c r="AV51" t="s">
        <v>416</v>
      </c>
      <c r="AW51">
        <v>65</v>
      </c>
      <c r="AX51">
        <v>37.138461538500003</v>
      </c>
      <c r="AY51">
        <v>158</v>
      </c>
      <c r="AZ51">
        <v>10</v>
      </c>
      <c r="BA51">
        <v>121</v>
      </c>
      <c r="BB51">
        <v>5</v>
      </c>
      <c r="BC51">
        <v>0</v>
      </c>
      <c r="BE51">
        <v>7</v>
      </c>
      <c r="BF51">
        <v>6</v>
      </c>
      <c r="BG51">
        <v>106</v>
      </c>
      <c r="BH51">
        <v>19</v>
      </c>
      <c r="BJ51" t="s">
        <v>610</v>
      </c>
      <c r="BK51" t="s">
        <v>414</v>
      </c>
      <c r="BL51">
        <v>11647</v>
      </c>
      <c r="BM51">
        <v>4827</v>
      </c>
      <c r="BN51" s="156">
        <v>134.2194556538</v>
      </c>
      <c r="BO51">
        <v>24389</v>
      </c>
      <c r="BP51">
        <v>2307</v>
      </c>
      <c r="BQ51">
        <v>231.04239616219999</v>
      </c>
      <c r="BR51">
        <v>196.10013003899999</v>
      </c>
      <c r="BS51">
        <v>7615</v>
      </c>
      <c r="BT51">
        <v>2464</v>
      </c>
      <c r="BU51">
        <v>110.99566644780001</v>
      </c>
      <c r="BV51">
        <v>16414</v>
      </c>
      <c r="BW51">
        <v>1418</v>
      </c>
      <c r="BX51">
        <v>239.5725600097</v>
      </c>
      <c r="BY51">
        <v>172.8293370945</v>
      </c>
      <c r="CA51" t="s">
        <v>436</v>
      </c>
      <c r="CB51" t="s">
        <v>907</v>
      </c>
      <c r="CC51" t="s">
        <v>1039</v>
      </c>
      <c r="CD51">
        <v>6645</v>
      </c>
      <c r="CE51">
        <v>1942</v>
      </c>
      <c r="CF51">
        <v>108.5283671934</v>
      </c>
      <c r="CG51">
        <v>16921</v>
      </c>
      <c r="CH51">
        <v>1391</v>
      </c>
      <c r="CI51">
        <v>171.96288635420001</v>
      </c>
      <c r="CJ51">
        <v>148.33788641269999</v>
      </c>
      <c r="CL51" t="s">
        <v>436</v>
      </c>
      <c r="CM51" t="s">
        <v>888</v>
      </c>
      <c r="CN51" t="s">
        <v>889</v>
      </c>
      <c r="CO51">
        <v>506</v>
      </c>
      <c r="CP51">
        <v>40</v>
      </c>
      <c r="CQ51">
        <v>58.339920948600003</v>
      </c>
      <c r="CR51">
        <v>2737</v>
      </c>
      <c r="CS51">
        <v>199</v>
      </c>
      <c r="CT51">
        <v>69.890390939</v>
      </c>
      <c r="CU51">
        <v>58.804020100499997</v>
      </c>
      <c r="CW51" t="s">
        <v>436</v>
      </c>
      <c r="CX51" t="s">
        <v>898</v>
      </c>
      <c r="CY51" t="s">
        <v>899</v>
      </c>
      <c r="CZ51">
        <v>172</v>
      </c>
      <c r="DA51">
        <v>43</v>
      </c>
      <c r="DB51">
        <v>86.046511627900003</v>
      </c>
      <c r="DC51">
        <v>399</v>
      </c>
      <c r="DD51">
        <v>31</v>
      </c>
      <c r="DE51">
        <v>140.23809523809999</v>
      </c>
      <c r="DF51">
        <v>119.0322580645</v>
      </c>
      <c r="DH51" t="s">
        <v>436</v>
      </c>
      <c r="DI51" t="s">
        <v>878</v>
      </c>
      <c r="DJ51" t="s">
        <v>879</v>
      </c>
      <c r="DK51">
        <v>106</v>
      </c>
      <c r="DL51">
        <v>17</v>
      </c>
      <c r="DM51">
        <v>77.613207547200005</v>
      </c>
      <c r="DN51">
        <v>352</v>
      </c>
      <c r="DO51">
        <v>25</v>
      </c>
      <c r="DP51">
        <v>179.5284090909</v>
      </c>
      <c r="DQ51">
        <v>140.12</v>
      </c>
    </row>
    <row r="52" spans="2:121" x14ac:dyDescent="0.2">
      <c r="B52" t="s">
        <v>126</v>
      </c>
      <c r="C52">
        <v>754</v>
      </c>
      <c r="D52">
        <v>744</v>
      </c>
      <c r="F52" t="s">
        <v>53</v>
      </c>
      <c r="G52">
        <v>2748</v>
      </c>
      <c r="H52">
        <v>111.1073508006</v>
      </c>
      <c r="I52">
        <v>2118</v>
      </c>
      <c r="J52">
        <v>377</v>
      </c>
      <c r="K52">
        <v>5273</v>
      </c>
      <c r="L52">
        <v>1301</v>
      </c>
      <c r="M52">
        <v>623</v>
      </c>
      <c r="N52">
        <v>511</v>
      </c>
      <c r="O52">
        <v>512</v>
      </c>
      <c r="P52">
        <v>398</v>
      </c>
      <c r="Q52">
        <v>0</v>
      </c>
      <c r="R52">
        <v>14</v>
      </c>
      <c r="AH52" t="s">
        <v>83</v>
      </c>
      <c r="AI52">
        <v>15284</v>
      </c>
      <c r="AJ52">
        <v>410.24862601410001</v>
      </c>
      <c r="AK52">
        <v>9063</v>
      </c>
      <c r="AL52">
        <v>3311</v>
      </c>
      <c r="AM52">
        <v>20498</v>
      </c>
      <c r="AN52">
        <v>14950</v>
      </c>
      <c r="AO52">
        <v>3942</v>
      </c>
      <c r="AP52">
        <v>3466</v>
      </c>
      <c r="AQ52">
        <v>6942</v>
      </c>
      <c r="AR52">
        <v>5499</v>
      </c>
      <c r="AS52">
        <v>8</v>
      </c>
      <c r="AT52">
        <v>144</v>
      </c>
      <c r="AV52" t="s">
        <v>402</v>
      </c>
      <c r="AW52">
        <v>297</v>
      </c>
      <c r="AX52">
        <v>64.818181818200003</v>
      </c>
      <c r="AY52">
        <v>455</v>
      </c>
      <c r="AZ52">
        <v>27</v>
      </c>
      <c r="BA52">
        <v>503</v>
      </c>
      <c r="BB52">
        <v>50</v>
      </c>
      <c r="BC52">
        <v>6</v>
      </c>
      <c r="BD52">
        <v>6</v>
      </c>
      <c r="BE52">
        <v>46</v>
      </c>
      <c r="BF52">
        <v>14</v>
      </c>
      <c r="BG52">
        <v>335</v>
      </c>
      <c r="BH52">
        <v>34</v>
      </c>
      <c r="BJ52" t="s">
        <v>632</v>
      </c>
      <c r="BK52" t="s">
        <v>414</v>
      </c>
      <c r="BL52">
        <v>1125</v>
      </c>
      <c r="BM52">
        <v>477</v>
      </c>
      <c r="BN52" s="156">
        <v>139.29777777780001</v>
      </c>
      <c r="BO52">
        <v>2797</v>
      </c>
      <c r="BP52">
        <v>231</v>
      </c>
      <c r="BQ52">
        <v>169.07508044330001</v>
      </c>
      <c r="BR52">
        <v>161.82251082249999</v>
      </c>
      <c r="BS52">
        <v>2082</v>
      </c>
      <c r="BT52">
        <v>1260</v>
      </c>
      <c r="BU52">
        <v>180.5398655139</v>
      </c>
      <c r="BV52">
        <v>5360</v>
      </c>
      <c r="BW52">
        <v>425</v>
      </c>
      <c r="BX52">
        <v>216.5817164179</v>
      </c>
      <c r="BY52">
        <v>201.02352941180001</v>
      </c>
      <c r="CA52" t="s">
        <v>417</v>
      </c>
      <c r="CB52" t="s">
        <v>907</v>
      </c>
      <c r="CC52" t="s">
        <v>1040</v>
      </c>
      <c r="CD52">
        <v>34096</v>
      </c>
      <c r="CE52">
        <v>12225</v>
      </c>
      <c r="CF52">
        <v>125.2134267949</v>
      </c>
      <c r="CG52">
        <v>77409</v>
      </c>
      <c r="CH52">
        <v>7194</v>
      </c>
      <c r="CI52">
        <v>203.57951917739999</v>
      </c>
      <c r="CJ52">
        <v>179.73533500139999</v>
      </c>
      <c r="CL52" t="s">
        <v>417</v>
      </c>
      <c r="CM52" t="s">
        <v>888</v>
      </c>
      <c r="CN52" t="s">
        <v>890</v>
      </c>
      <c r="CO52">
        <v>2029</v>
      </c>
      <c r="CP52">
        <v>112</v>
      </c>
      <c r="CQ52">
        <v>52.086249383899997</v>
      </c>
      <c r="CR52">
        <v>10797</v>
      </c>
      <c r="CS52">
        <v>795</v>
      </c>
      <c r="CT52">
        <v>63.189311845900001</v>
      </c>
      <c r="CU52">
        <v>60.766037735799998</v>
      </c>
      <c r="CW52" t="s">
        <v>417</v>
      </c>
      <c r="CX52" t="s">
        <v>898</v>
      </c>
      <c r="CY52" t="s">
        <v>900</v>
      </c>
      <c r="CZ52">
        <v>1060</v>
      </c>
      <c r="DA52">
        <v>124</v>
      </c>
      <c r="DB52">
        <v>65.566037735799995</v>
      </c>
      <c r="DC52">
        <v>3000</v>
      </c>
      <c r="DD52">
        <v>179</v>
      </c>
      <c r="DE52">
        <v>119.163</v>
      </c>
      <c r="DF52">
        <v>102.20111731839999</v>
      </c>
      <c r="DH52" t="s">
        <v>417</v>
      </c>
      <c r="DI52" t="s">
        <v>878</v>
      </c>
      <c r="DJ52" t="s">
        <v>880</v>
      </c>
      <c r="DK52">
        <v>496</v>
      </c>
      <c r="DL52">
        <v>96</v>
      </c>
      <c r="DM52">
        <v>87.2963709677</v>
      </c>
      <c r="DN52">
        <v>1517</v>
      </c>
      <c r="DO52">
        <v>92</v>
      </c>
      <c r="DP52">
        <v>167.45088991430001</v>
      </c>
      <c r="DQ52">
        <v>158.05434782610001</v>
      </c>
    </row>
    <row r="53" spans="2:121" x14ac:dyDescent="0.2">
      <c r="B53" t="s">
        <v>109</v>
      </c>
      <c r="C53">
        <v>1445</v>
      </c>
      <c r="D53">
        <v>339</v>
      </c>
      <c r="F53" t="s">
        <v>79</v>
      </c>
      <c r="G53">
        <v>6363</v>
      </c>
      <c r="H53">
        <v>152.14568599719999</v>
      </c>
      <c r="I53">
        <v>10333</v>
      </c>
      <c r="J53">
        <v>2423</v>
      </c>
      <c r="K53">
        <v>11094</v>
      </c>
      <c r="L53">
        <v>3396</v>
      </c>
      <c r="M53">
        <v>583</v>
      </c>
      <c r="N53">
        <v>383</v>
      </c>
      <c r="O53">
        <v>1502</v>
      </c>
      <c r="P53">
        <v>712</v>
      </c>
      <c r="Q53">
        <v>15</v>
      </c>
      <c r="R53">
        <v>0</v>
      </c>
      <c r="AH53" t="s">
        <v>389</v>
      </c>
      <c r="AI53">
        <v>2374</v>
      </c>
      <c r="AJ53">
        <v>243.0126368997</v>
      </c>
      <c r="AK53">
        <v>2858</v>
      </c>
      <c r="AL53">
        <v>826</v>
      </c>
      <c r="AM53">
        <v>3486</v>
      </c>
      <c r="AN53">
        <v>1940</v>
      </c>
      <c r="AO53">
        <v>301</v>
      </c>
      <c r="AP53">
        <v>262</v>
      </c>
      <c r="AQ53">
        <v>1076</v>
      </c>
      <c r="AR53">
        <v>773</v>
      </c>
      <c r="AS53">
        <v>200</v>
      </c>
      <c r="AT53">
        <v>19</v>
      </c>
      <c r="AV53" t="s">
        <v>434</v>
      </c>
      <c r="AW53">
        <v>9</v>
      </c>
      <c r="AX53">
        <v>59.222222222200003</v>
      </c>
      <c r="AY53">
        <v>13</v>
      </c>
      <c r="BA53">
        <v>21</v>
      </c>
      <c r="BB53">
        <v>3</v>
      </c>
      <c r="BC53">
        <v>0</v>
      </c>
      <c r="BE53">
        <v>1</v>
      </c>
      <c r="BF53">
        <v>1</v>
      </c>
      <c r="BG53">
        <v>20</v>
      </c>
      <c r="BH53">
        <v>5</v>
      </c>
      <c r="BJ53" t="s">
        <v>608</v>
      </c>
      <c r="BK53" t="s">
        <v>414</v>
      </c>
      <c r="BL53">
        <v>13023</v>
      </c>
      <c r="BM53">
        <v>5215</v>
      </c>
      <c r="BN53" s="156">
        <v>137.45811257010001</v>
      </c>
      <c r="BO53">
        <v>27053</v>
      </c>
      <c r="BP53">
        <v>2622</v>
      </c>
      <c r="BQ53">
        <v>234.56163826560001</v>
      </c>
      <c r="BR53">
        <v>213.60831426390001</v>
      </c>
      <c r="BS53">
        <v>8804</v>
      </c>
      <c r="BT53">
        <v>2760</v>
      </c>
      <c r="BU53">
        <v>119.187187642</v>
      </c>
      <c r="BV53">
        <v>16364</v>
      </c>
      <c r="BW53">
        <v>1319</v>
      </c>
      <c r="BX53">
        <v>244.75873869470001</v>
      </c>
      <c r="BY53">
        <v>210.2539802881</v>
      </c>
      <c r="CA53" t="s">
        <v>438</v>
      </c>
      <c r="CB53" t="s">
        <v>907</v>
      </c>
      <c r="CC53" t="s">
        <v>1041</v>
      </c>
      <c r="CD53">
        <v>2122</v>
      </c>
      <c r="CE53">
        <v>738</v>
      </c>
      <c r="CF53">
        <v>120.5169651272</v>
      </c>
      <c r="CG53">
        <v>5883</v>
      </c>
      <c r="CH53">
        <v>517</v>
      </c>
      <c r="CI53">
        <v>171.7756246813</v>
      </c>
      <c r="CJ53">
        <v>144.50096711800001</v>
      </c>
      <c r="CL53" t="s">
        <v>438</v>
      </c>
      <c r="CM53" t="s">
        <v>888</v>
      </c>
      <c r="CN53" t="s">
        <v>891</v>
      </c>
      <c r="CO53">
        <v>54</v>
      </c>
      <c r="CP53">
        <v>8</v>
      </c>
      <c r="CQ53">
        <v>72.518518518500002</v>
      </c>
      <c r="CR53">
        <v>283</v>
      </c>
      <c r="CS53">
        <v>19</v>
      </c>
      <c r="CT53">
        <v>64.519434629000003</v>
      </c>
      <c r="CU53">
        <v>85.894736842100002</v>
      </c>
      <c r="CW53" t="s">
        <v>438</v>
      </c>
      <c r="CX53" t="s">
        <v>898</v>
      </c>
      <c r="CY53" t="s">
        <v>901</v>
      </c>
      <c r="CZ53">
        <v>33</v>
      </c>
      <c r="DA53">
        <v>11</v>
      </c>
      <c r="DB53">
        <v>91.727272727300004</v>
      </c>
      <c r="DC53">
        <v>83</v>
      </c>
      <c r="DD53">
        <v>4</v>
      </c>
      <c r="DE53">
        <v>125.5542168675</v>
      </c>
      <c r="DF53">
        <v>106.75</v>
      </c>
      <c r="DH53" t="s">
        <v>438</v>
      </c>
      <c r="DI53" t="s">
        <v>878</v>
      </c>
      <c r="DJ53" t="s">
        <v>881</v>
      </c>
      <c r="DK53">
        <v>66</v>
      </c>
      <c r="DL53">
        <v>11</v>
      </c>
      <c r="DM53">
        <v>78.681818181799997</v>
      </c>
      <c r="DN53">
        <v>200</v>
      </c>
      <c r="DO53">
        <v>13</v>
      </c>
      <c r="DP53">
        <v>167.68</v>
      </c>
      <c r="DQ53">
        <v>168</v>
      </c>
    </row>
    <row r="54" spans="2:121" x14ac:dyDescent="0.2">
      <c r="F54" t="s">
        <v>75</v>
      </c>
      <c r="G54">
        <v>2457</v>
      </c>
      <c r="H54">
        <v>303.12169312169999</v>
      </c>
      <c r="I54">
        <v>2888</v>
      </c>
      <c r="J54">
        <v>820</v>
      </c>
      <c r="K54">
        <v>4056</v>
      </c>
      <c r="L54">
        <v>2620</v>
      </c>
      <c r="M54">
        <v>681</v>
      </c>
      <c r="N54">
        <v>639</v>
      </c>
      <c r="O54">
        <v>1498</v>
      </c>
      <c r="P54">
        <v>1247</v>
      </c>
      <c r="Q54">
        <v>0</v>
      </c>
      <c r="R54">
        <v>5</v>
      </c>
      <c r="AH54" t="s">
        <v>406</v>
      </c>
      <c r="AI54">
        <v>4372</v>
      </c>
      <c r="AJ54">
        <v>257.74839890210001</v>
      </c>
      <c r="AK54">
        <v>4178</v>
      </c>
      <c r="AL54">
        <v>1216</v>
      </c>
      <c r="AM54">
        <v>6302</v>
      </c>
      <c r="AN54">
        <v>3778</v>
      </c>
      <c r="AO54">
        <v>312</v>
      </c>
      <c r="AP54">
        <v>250</v>
      </c>
      <c r="AQ54">
        <v>665</v>
      </c>
      <c r="AR54">
        <v>277</v>
      </c>
      <c r="AS54">
        <v>12</v>
      </c>
      <c r="AT54">
        <v>8</v>
      </c>
      <c r="AV54" t="s">
        <v>411</v>
      </c>
      <c r="AW54">
        <v>131</v>
      </c>
      <c r="AX54">
        <v>38.9083969466</v>
      </c>
      <c r="AY54">
        <v>297</v>
      </c>
      <c r="AZ54">
        <v>7</v>
      </c>
      <c r="BA54">
        <v>223</v>
      </c>
      <c r="BB54">
        <v>3</v>
      </c>
      <c r="BC54">
        <v>1</v>
      </c>
      <c r="BD54">
        <v>1</v>
      </c>
      <c r="BE54">
        <v>6</v>
      </c>
      <c r="BF54">
        <v>1</v>
      </c>
      <c r="BG54">
        <v>372</v>
      </c>
      <c r="BH54">
        <v>41</v>
      </c>
      <c r="BJ54" t="s">
        <v>414</v>
      </c>
      <c r="BK54" t="s">
        <v>414</v>
      </c>
      <c r="BL54">
        <v>70226</v>
      </c>
      <c r="BM54">
        <v>24481</v>
      </c>
      <c r="BN54" s="156">
        <v>123.5498675704</v>
      </c>
      <c r="BO54">
        <v>184828</v>
      </c>
      <c r="BP54">
        <v>15884</v>
      </c>
      <c r="BQ54">
        <v>183.10151059360001</v>
      </c>
      <c r="BR54">
        <v>162.21877360869999</v>
      </c>
      <c r="BS54">
        <v>63116</v>
      </c>
      <c r="BT54">
        <v>21560</v>
      </c>
      <c r="BU54">
        <v>121.37702009</v>
      </c>
      <c r="BV54">
        <v>170968</v>
      </c>
      <c r="BW54">
        <v>14252</v>
      </c>
      <c r="BX54">
        <v>180.84910626550001</v>
      </c>
      <c r="BY54">
        <v>157.39383946109999</v>
      </c>
      <c r="CA54" t="s">
        <v>418</v>
      </c>
      <c r="CB54" t="s">
        <v>907</v>
      </c>
      <c r="CC54" t="s">
        <v>1042</v>
      </c>
      <c r="CD54">
        <v>1700</v>
      </c>
      <c r="CE54">
        <v>493</v>
      </c>
      <c r="CF54">
        <v>106.68058823529999</v>
      </c>
      <c r="CG54">
        <v>3863</v>
      </c>
      <c r="CH54">
        <v>297</v>
      </c>
      <c r="CI54">
        <v>147.3124514626</v>
      </c>
      <c r="CJ54">
        <v>142.53535353539999</v>
      </c>
      <c r="CL54" t="s">
        <v>418</v>
      </c>
      <c r="CM54" t="s">
        <v>888</v>
      </c>
      <c r="CN54" t="s">
        <v>892</v>
      </c>
      <c r="CO54">
        <v>124</v>
      </c>
      <c r="CP54">
        <v>8</v>
      </c>
      <c r="CQ54">
        <v>50.7338709677</v>
      </c>
      <c r="CR54">
        <v>635</v>
      </c>
      <c r="CS54">
        <v>38</v>
      </c>
      <c r="CT54">
        <v>58.968503937000001</v>
      </c>
      <c r="CU54">
        <v>57.552631578899998</v>
      </c>
      <c r="CW54" t="s">
        <v>418</v>
      </c>
      <c r="CX54" t="s">
        <v>898</v>
      </c>
      <c r="CY54" t="s">
        <v>902</v>
      </c>
      <c r="CZ54">
        <v>32</v>
      </c>
      <c r="DA54">
        <v>5</v>
      </c>
      <c r="DB54">
        <v>74</v>
      </c>
      <c r="DC54">
        <v>96</v>
      </c>
      <c r="DD54">
        <v>3</v>
      </c>
      <c r="DE54">
        <v>130.4270833333</v>
      </c>
      <c r="DF54">
        <v>97.666666666699996</v>
      </c>
      <c r="DH54" t="s">
        <v>418</v>
      </c>
      <c r="DI54" t="s">
        <v>878</v>
      </c>
      <c r="DJ54" t="s">
        <v>882</v>
      </c>
      <c r="DK54">
        <v>30</v>
      </c>
      <c r="DL54">
        <v>4</v>
      </c>
      <c r="DM54">
        <v>55.666666666700003</v>
      </c>
      <c r="DN54">
        <v>52</v>
      </c>
      <c r="DO54">
        <v>2</v>
      </c>
      <c r="DP54">
        <v>168.2884615385</v>
      </c>
      <c r="DQ54">
        <v>237</v>
      </c>
    </row>
    <row r="55" spans="2:121" x14ac:dyDescent="0.2">
      <c r="F55" t="s">
        <v>45</v>
      </c>
      <c r="G55">
        <v>2699</v>
      </c>
      <c r="H55">
        <v>242.58725453869999</v>
      </c>
      <c r="I55">
        <v>8140</v>
      </c>
      <c r="J55">
        <v>2391</v>
      </c>
      <c r="K55">
        <v>4963</v>
      </c>
      <c r="L55">
        <v>2608</v>
      </c>
      <c r="M55">
        <v>753</v>
      </c>
      <c r="N55">
        <v>637</v>
      </c>
      <c r="O55">
        <v>900</v>
      </c>
      <c r="P55">
        <v>689</v>
      </c>
      <c r="Q55">
        <v>2</v>
      </c>
      <c r="R55">
        <v>203</v>
      </c>
      <c r="AH55" t="s">
        <v>431</v>
      </c>
      <c r="AI55">
        <v>663</v>
      </c>
      <c r="AJ55">
        <v>284.57315233790001</v>
      </c>
      <c r="AK55">
        <v>966</v>
      </c>
      <c r="AL55">
        <v>230</v>
      </c>
      <c r="AM55">
        <v>1049</v>
      </c>
      <c r="AN55">
        <v>515</v>
      </c>
      <c r="AO55">
        <v>176</v>
      </c>
      <c r="AP55">
        <v>131</v>
      </c>
      <c r="AQ55">
        <v>178</v>
      </c>
      <c r="AR55">
        <v>103</v>
      </c>
      <c r="AS55">
        <v>25</v>
      </c>
      <c r="AT55">
        <v>7</v>
      </c>
      <c r="AV55" t="s">
        <v>389</v>
      </c>
      <c r="AW55">
        <v>241</v>
      </c>
      <c r="AX55">
        <v>99.182572614099996</v>
      </c>
      <c r="AY55">
        <v>176</v>
      </c>
      <c r="AZ55">
        <v>30</v>
      </c>
      <c r="BA55">
        <v>350</v>
      </c>
      <c r="BB55">
        <v>85</v>
      </c>
      <c r="BC55">
        <v>16</v>
      </c>
      <c r="BD55">
        <v>15</v>
      </c>
      <c r="BE55">
        <v>83</v>
      </c>
      <c r="BF55">
        <v>13</v>
      </c>
      <c r="BG55">
        <v>50</v>
      </c>
      <c r="BH55">
        <v>61</v>
      </c>
      <c r="BJ55" t="s">
        <v>612</v>
      </c>
      <c r="BK55" t="s">
        <v>414</v>
      </c>
      <c r="BL55">
        <v>5642</v>
      </c>
      <c r="BM55">
        <v>1665</v>
      </c>
      <c r="BN55" s="156">
        <v>107.70613257710001</v>
      </c>
      <c r="BO55">
        <v>14904</v>
      </c>
      <c r="BP55">
        <v>1149</v>
      </c>
      <c r="BQ55">
        <v>175.689949007</v>
      </c>
      <c r="BR55">
        <v>152.7249782419</v>
      </c>
      <c r="BS55">
        <v>8577</v>
      </c>
      <c r="BT55">
        <v>3322</v>
      </c>
      <c r="BU55">
        <v>130.35408651040001</v>
      </c>
      <c r="BV55">
        <v>20885</v>
      </c>
      <c r="BW55">
        <v>1947</v>
      </c>
      <c r="BX55">
        <v>190.81465166390001</v>
      </c>
      <c r="BY55">
        <v>172.05444273239999</v>
      </c>
      <c r="CA55" t="s">
        <v>423</v>
      </c>
      <c r="CB55" t="s">
        <v>907</v>
      </c>
      <c r="CC55" t="s">
        <v>1043</v>
      </c>
      <c r="CD55">
        <v>4497</v>
      </c>
      <c r="CE55">
        <v>1845</v>
      </c>
      <c r="CF55">
        <v>144.9764287303</v>
      </c>
      <c r="CG55">
        <v>9403</v>
      </c>
      <c r="CH55">
        <v>998</v>
      </c>
      <c r="CI55">
        <v>238.0089333192</v>
      </c>
      <c r="CJ55">
        <v>215</v>
      </c>
      <c r="CL55" t="s">
        <v>423</v>
      </c>
      <c r="CM55" t="s">
        <v>888</v>
      </c>
      <c r="CN55" t="s">
        <v>893</v>
      </c>
      <c r="CO55">
        <v>226</v>
      </c>
      <c r="CP55">
        <v>15</v>
      </c>
      <c r="CQ55">
        <v>51.5353982301</v>
      </c>
      <c r="CR55">
        <v>1232</v>
      </c>
      <c r="CS55">
        <v>86</v>
      </c>
      <c r="CT55">
        <v>72.828733766200003</v>
      </c>
      <c r="CU55">
        <v>98.325581395300006</v>
      </c>
      <c r="CW55" t="s">
        <v>423</v>
      </c>
      <c r="CX55" t="s">
        <v>898</v>
      </c>
      <c r="CY55" t="s">
        <v>903</v>
      </c>
      <c r="CZ55">
        <v>59</v>
      </c>
      <c r="DA55">
        <v>16</v>
      </c>
      <c r="DB55">
        <v>97.118644067800005</v>
      </c>
      <c r="DC55">
        <v>216</v>
      </c>
      <c r="DD55">
        <v>19</v>
      </c>
      <c r="DE55">
        <v>121.3611111111</v>
      </c>
      <c r="DF55">
        <v>128.7894736842</v>
      </c>
      <c r="DH55" t="s">
        <v>423</v>
      </c>
      <c r="DI55" t="s">
        <v>878</v>
      </c>
      <c r="DJ55" t="s">
        <v>883</v>
      </c>
      <c r="DK55">
        <v>72</v>
      </c>
      <c r="DL55">
        <v>15</v>
      </c>
      <c r="DM55">
        <v>82.666666666699996</v>
      </c>
      <c r="DN55">
        <v>238</v>
      </c>
      <c r="DO55">
        <v>27</v>
      </c>
      <c r="DP55">
        <v>171.75210084029999</v>
      </c>
      <c r="DQ55">
        <v>139.0740740741</v>
      </c>
    </row>
    <row r="56" spans="2:121" x14ac:dyDescent="0.2">
      <c r="F56" t="s">
        <v>65</v>
      </c>
      <c r="G56">
        <v>9052</v>
      </c>
      <c r="H56">
        <v>419.69929297390001</v>
      </c>
      <c r="I56">
        <v>12736</v>
      </c>
      <c r="J56">
        <v>4977</v>
      </c>
      <c r="K56">
        <v>12692</v>
      </c>
      <c r="L56">
        <v>9622</v>
      </c>
      <c r="M56">
        <v>1962</v>
      </c>
      <c r="N56">
        <v>1742</v>
      </c>
      <c r="O56">
        <v>6502</v>
      </c>
      <c r="P56">
        <v>5714</v>
      </c>
      <c r="Q56">
        <v>0</v>
      </c>
      <c r="R56">
        <v>42</v>
      </c>
      <c r="BJ56" t="s">
        <v>620</v>
      </c>
      <c r="BK56" t="s">
        <v>414</v>
      </c>
      <c r="BL56">
        <v>6290</v>
      </c>
      <c r="BM56">
        <v>2111</v>
      </c>
      <c r="BN56" s="156">
        <v>122.5225755167</v>
      </c>
      <c r="BO56">
        <v>12863</v>
      </c>
      <c r="BP56">
        <v>992</v>
      </c>
      <c r="BQ56">
        <v>198.26191401689999</v>
      </c>
      <c r="BR56">
        <v>173.87399193549999</v>
      </c>
      <c r="BS56">
        <v>6096</v>
      </c>
      <c r="BT56">
        <v>2109</v>
      </c>
      <c r="BU56">
        <v>125.22555774280001</v>
      </c>
      <c r="BV56">
        <v>12819</v>
      </c>
      <c r="BW56">
        <v>1027</v>
      </c>
      <c r="BX56">
        <v>198.44590061630001</v>
      </c>
      <c r="BY56">
        <v>175.5754625122</v>
      </c>
      <c r="CA56" t="s">
        <v>415</v>
      </c>
      <c r="CB56" t="s">
        <v>907</v>
      </c>
      <c r="CC56" t="s">
        <v>1044</v>
      </c>
      <c r="CD56">
        <v>3294</v>
      </c>
      <c r="CE56">
        <v>1182</v>
      </c>
      <c r="CF56">
        <v>120.88251366119999</v>
      </c>
      <c r="CG56">
        <v>6762</v>
      </c>
      <c r="CH56">
        <v>564</v>
      </c>
      <c r="CI56">
        <v>176.17834960069999</v>
      </c>
      <c r="CJ56">
        <v>167.17553191490001</v>
      </c>
      <c r="CL56" t="s">
        <v>415</v>
      </c>
      <c r="CM56" t="s">
        <v>888</v>
      </c>
      <c r="CN56" t="s">
        <v>894</v>
      </c>
      <c r="CO56">
        <v>195</v>
      </c>
      <c r="CP56">
        <v>14</v>
      </c>
      <c r="CQ56">
        <v>59.010256410300002</v>
      </c>
      <c r="CR56">
        <v>976</v>
      </c>
      <c r="CS56">
        <v>68</v>
      </c>
      <c r="CT56">
        <v>59.266393442599998</v>
      </c>
      <c r="CU56">
        <v>61.132352941199997</v>
      </c>
      <c r="CW56" t="s">
        <v>415</v>
      </c>
      <c r="CX56" t="s">
        <v>898</v>
      </c>
      <c r="CY56" t="s">
        <v>904</v>
      </c>
      <c r="CZ56">
        <v>66</v>
      </c>
      <c r="DA56">
        <v>16</v>
      </c>
      <c r="DB56">
        <v>82.393939393899998</v>
      </c>
      <c r="DC56">
        <v>112</v>
      </c>
      <c r="DD56">
        <v>15</v>
      </c>
      <c r="DE56">
        <v>127.2232142857</v>
      </c>
      <c r="DF56">
        <v>102.1333333333</v>
      </c>
      <c r="DH56" t="s">
        <v>415</v>
      </c>
      <c r="DI56" t="s">
        <v>878</v>
      </c>
      <c r="DJ56" t="s">
        <v>884</v>
      </c>
      <c r="DK56">
        <v>60</v>
      </c>
      <c r="DL56">
        <v>12</v>
      </c>
      <c r="DM56">
        <v>74.866666666699999</v>
      </c>
      <c r="DN56">
        <v>114</v>
      </c>
      <c r="DO56">
        <v>15</v>
      </c>
      <c r="DP56">
        <v>178.28070175440001</v>
      </c>
      <c r="DQ56">
        <v>157.0666666667</v>
      </c>
    </row>
    <row r="57" spans="2:121" x14ac:dyDescent="0.2">
      <c r="F57" t="s">
        <v>67</v>
      </c>
      <c r="G57">
        <v>6596</v>
      </c>
      <c r="H57">
        <v>281.81640388109997</v>
      </c>
      <c r="I57">
        <v>5443</v>
      </c>
      <c r="J57">
        <v>1629</v>
      </c>
      <c r="K57">
        <v>7850</v>
      </c>
      <c r="L57">
        <v>4578</v>
      </c>
      <c r="M57">
        <v>250</v>
      </c>
      <c r="N57">
        <v>202</v>
      </c>
      <c r="O57">
        <v>3028</v>
      </c>
      <c r="P57">
        <v>2553</v>
      </c>
      <c r="Q57">
        <v>0</v>
      </c>
      <c r="R57">
        <v>67</v>
      </c>
      <c r="BJ57" t="s">
        <v>628</v>
      </c>
      <c r="BK57" t="s">
        <v>414</v>
      </c>
      <c r="BL57">
        <v>4425</v>
      </c>
      <c r="BM57">
        <v>1867</v>
      </c>
      <c r="BN57" s="156">
        <v>148.82305084750001</v>
      </c>
      <c r="BO57">
        <v>8776</v>
      </c>
      <c r="BP57">
        <v>970</v>
      </c>
      <c r="BQ57">
        <v>249.26595259800001</v>
      </c>
      <c r="BR57">
        <v>220.4164948454</v>
      </c>
      <c r="BS57">
        <v>2473</v>
      </c>
      <c r="BT57">
        <v>957</v>
      </c>
      <c r="BU57">
        <v>142.7513141933</v>
      </c>
      <c r="BV57">
        <v>4365</v>
      </c>
      <c r="BW57">
        <v>412</v>
      </c>
      <c r="BX57">
        <v>283.53997709049997</v>
      </c>
      <c r="BY57">
        <v>238.51456310680001</v>
      </c>
      <c r="CA57" t="s">
        <v>419</v>
      </c>
      <c r="CB57" t="s">
        <v>907</v>
      </c>
      <c r="CC57" t="s">
        <v>1045</v>
      </c>
      <c r="CD57">
        <v>6207</v>
      </c>
      <c r="CE57">
        <v>2160</v>
      </c>
      <c r="CF57">
        <v>125.57080715319999</v>
      </c>
      <c r="CG57">
        <v>13352</v>
      </c>
      <c r="CH57">
        <v>1029</v>
      </c>
      <c r="CI57">
        <v>195.8216746555</v>
      </c>
      <c r="CJ57">
        <v>171.13896987370001</v>
      </c>
      <c r="CL57" t="s">
        <v>419</v>
      </c>
      <c r="CM57" t="s">
        <v>888</v>
      </c>
      <c r="CN57" t="s">
        <v>895</v>
      </c>
      <c r="CO57">
        <v>322</v>
      </c>
      <c r="CP57">
        <v>20</v>
      </c>
      <c r="CQ57">
        <v>57.186335403699999</v>
      </c>
      <c r="CR57">
        <v>1734</v>
      </c>
      <c r="CS57">
        <v>135</v>
      </c>
      <c r="CT57">
        <v>65.352364475200005</v>
      </c>
      <c r="CU57">
        <v>58.985185185200002</v>
      </c>
      <c r="CW57" t="s">
        <v>419</v>
      </c>
      <c r="CX57" t="s">
        <v>898</v>
      </c>
      <c r="CY57" t="s">
        <v>905</v>
      </c>
      <c r="CZ57">
        <v>89</v>
      </c>
      <c r="DA57">
        <v>9</v>
      </c>
      <c r="DB57">
        <v>56.898876404500001</v>
      </c>
      <c r="DC57">
        <v>172</v>
      </c>
      <c r="DD57">
        <v>10</v>
      </c>
      <c r="DE57">
        <v>121.69186046510001</v>
      </c>
      <c r="DF57">
        <v>87.2</v>
      </c>
      <c r="DH57" t="s">
        <v>419</v>
      </c>
      <c r="DI57" t="s">
        <v>878</v>
      </c>
      <c r="DJ57" t="s">
        <v>885</v>
      </c>
      <c r="DK57">
        <v>36</v>
      </c>
      <c r="DL57">
        <v>7</v>
      </c>
      <c r="DM57">
        <v>77.527777777799997</v>
      </c>
      <c r="DN57">
        <v>127</v>
      </c>
      <c r="DO57">
        <v>9</v>
      </c>
      <c r="DP57">
        <v>161.0472440945</v>
      </c>
      <c r="DQ57">
        <v>135.55555555559999</v>
      </c>
    </row>
    <row r="58" spans="2:121" x14ac:dyDescent="0.2">
      <c r="F58" t="s">
        <v>57</v>
      </c>
      <c r="G58">
        <v>2138</v>
      </c>
      <c r="H58">
        <v>352.26333021520003</v>
      </c>
      <c r="I58">
        <v>1223</v>
      </c>
      <c r="J58">
        <v>321</v>
      </c>
      <c r="K58">
        <v>2531</v>
      </c>
      <c r="L58">
        <v>1702</v>
      </c>
      <c r="M58">
        <v>669</v>
      </c>
      <c r="N58">
        <v>657</v>
      </c>
      <c r="O58">
        <v>110</v>
      </c>
      <c r="P58">
        <v>85</v>
      </c>
      <c r="Q58">
        <v>0</v>
      </c>
      <c r="R58">
        <v>1</v>
      </c>
      <c r="BJ58" t="s">
        <v>641</v>
      </c>
      <c r="BK58" t="s">
        <v>414</v>
      </c>
      <c r="BL58">
        <v>10248</v>
      </c>
      <c r="BM58">
        <v>2274</v>
      </c>
      <c r="BN58" s="156">
        <v>93.456576893100006</v>
      </c>
      <c r="BO58">
        <v>23832</v>
      </c>
      <c r="BP58">
        <v>2244</v>
      </c>
      <c r="BQ58">
        <v>159.21357838200001</v>
      </c>
      <c r="BR58">
        <v>131.59358288769999</v>
      </c>
      <c r="BS58">
        <v>11491</v>
      </c>
      <c r="BT58">
        <v>3582</v>
      </c>
      <c r="BU58">
        <v>115.87773039770001</v>
      </c>
      <c r="BV58">
        <v>29356</v>
      </c>
      <c r="BW58">
        <v>2621</v>
      </c>
      <c r="BX58">
        <v>174.8702479902</v>
      </c>
      <c r="BY58">
        <v>165.48073254479999</v>
      </c>
      <c r="CA58" t="s">
        <v>83</v>
      </c>
      <c r="CB58" t="s">
        <v>907</v>
      </c>
      <c r="CC58" t="s">
        <v>1046</v>
      </c>
      <c r="CD58">
        <v>8518</v>
      </c>
      <c r="CE58">
        <v>3254</v>
      </c>
      <c r="CF58">
        <v>137.9389528058</v>
      </c>
      <c r="CG58">
        <v>23355</v>
      </c>
      <c r="CH58">
        <v>1939</v>
      </c>
      <c r="CI58">
        <v>236.49518304430001</v>
      </c>
      <c r="CJ58">
        <v>195.36874677669999</v>
      </c>
      <c r="CL58" t="s">
        <v>83</v>
      </c>
      <c r="CM58" t="s">
        <v>888</v>
      </c>
      <c r="CN58" t="s">
        <v>896</v>
      </c>
      <c r="CO58">
        <v>516</v>
      </c>
      <c r="CP58">
        <v>34</v>
      </c>
      <c r="CQ58">
        <v>56.453488372099997</v>
      </c>
      <c r="CR58">
        <v>2706</v>
      </c>
      <c r="CS58">
        <v>225</v>
      </c>
      <c r="CT58">
        <v>69.943458980000003</v>
      </c>
      <c r="CU58">
        <v>69.72</v>
      </c>
      <c r="CW58" t="s">
        <v>83</v>
      </c>
      <c r="CX58" t="s">
        <v>898</v>
      </c>
      <c r="CY58" t="s">
        <v>906</v>
      </c>
      <c r="CZ58">
        <v>219</v>
      </c>
      <c r="DA58">
        <v>33</v>
      </c>
      <c r="DB58">
        <v>72.5479452055</v>
      </c>
      <c r="DC58">
        <v>699</v>
      </c>
      <c r="DD58">
        <v>68</v>
      </c>
      <c r="DE58">
        <v>127.1416309013</v>
      </c>
      <c r="DF58">
        <v>110.8529411765</v>
      </c>
      <c r="DH58" t="s">
        <v>83</v>
      </c>
      <c r="DI58" t="s">
        <v>878</v>
      </c>
      <c r="DJ58" t="s">
        <v>886</v>
      </c>
      <c r="DK58">
        <v>440</v>
      </c>
      <c r="DL58">
        <v>68</v>
      </c>
      <c r="DM58">
        <v>74.795454545499993</v>
      </c>
      <c r="DN58">
        <v>968</v>
      </c>
      <c r="DO58">
        <v>63</v>
      </c>
      <c r="DP58">
        <v>170.64979338840001</v>
      </c>
      <c r="DQ58">
        <v>131.69841269840001</v>
      </c>
    </row>
    <row r="59" spans="2:121" x14ac:dyDescent="0.2">
      <c r="F59" t="s">
        <v>49</v>
      </c>
      <c r="G59">
        <v>12906</v>
      </c>
      <c r="H59">
        <v>332.89183325580001</v>
      </c>
      <c r="I59">
        <v>18533</v>
      </c>
      <c r="J59">
        <v>7495</v>
      </c>
      <c r="K59">
        <v>17354</v>
      </c>
      <c r="L59">
        <v>11286</v>
      </c>
      <c r="M59">
        <v>1797</v>
      </c>
      <c r="N59">
        <v>1393</v>
      </c>
      <c r="O59">
        <v>5632</v>
      </c>
      <c r="P59">
        <v>4603</v>
      </c>
      <c r="Q59">
        <v>1</v>
      </c>
      <c r="R59">
        <v>238</v>
      </c>
      <c r="BJ59" t="s">
        <v>614</v>
      </c>
      <c r="BK59" t="s">
        <v>414</v>
      </c>
      <c r="BL59">
        <v>9324</v>
      </c>
      <c r="BM59">
        <v>3402</v>
      </c>
      <c r="BN59" s="156">
        <v>130.97704847700001</v>
      </c>
      <c r="BO59">
        <v>51770</v>
      </c>
      <c r="BP59">
        <v>3816</v>
      </c>
      <c r="BQ59">
        <v>134.5899942051</v>
      </c>
      <c r="BR59">
        <v>110.63443396229999</v>
      </c>
      <c r="BS59">
        <v>7649</v>
      </c>
      <c r="BT59">
        <v>2295</v>
      </c>
      <c r="BU59">
        <v>112.51117793180001</v>
      </c>
      <c r="BV59">
        <v>46775</v>
      </c>
      <c r="BW59">
        <v>3533</v>
      </c>
      <c r="BX59">
        <v>119.8358738642</v>
      </c>
      <c r="BY59">
        <v>95.207189357499999</v>
      </c>
      <c r="CA59" t="s">
        <v>414</v>
      </c>
      <c r="CB59" t="s">
        <v>907</v>
      </c>
      <c r="CD59">
        <v>68172</v>
      </c>
      <c r="CE59">
        <v>24014</v>
      </c>
      <c r="CF59">
        <v>125.0455318899</v>
      </c>
      <c r="CG59">
        <v>160149</v>
      </c>
      <c r="CH59">
        <v>14207</v>
      </c>
      <c r="CI59">
        <v>201.30103840800001</v>
      </c>
      <c r="CJ59">
        <v>176.76131484480001</v>
      </c>
      <c r="CL59" t="s">
        <v>414</v>
      </c>
      <c r="CM59" t="s">
        <v>888</v>
      </c>
      <c r="CO59">
        <v>4001</v>
      </c>
      <c r="CP59">
        <v>255</v>
      </c>
      <c r="CQ59">
        <v>54.489377655600002</v>
      </c>
      <c r="CR59">
        <v>21266</v>
      </c>
      <c r="CS59">
        <v>1581</v>
      </c>
      <c r="CT59">
        <v>65.318959841999998</v>
      </c>
      <c r="CU59">
        <v>63.836179633100002</v>
      </c>
      <c r="CW59" t="s">
        <v>414</v>
      </c>
      <c r="CX59" t="s">
        <v>898</v>
      </c>
      <c r="CZ59">
        <v>1756</v>
      </c>
      <c r="DA59">
        <v>263</v>
      </c>
      <c r="DB59">
        <v>70.538154897499993</v>
      </c>
      <c r="DC59">
        <v>4853</v>
      </c>
      <c r="DD59">
        <v>337</v>
      </c>
      <c r="DE59">
        <v>122.83597774570001</v>
      </c>
      <c r="DF59">
        <v>106.9169139466</v>
      </c>
      <c r="DH59" t="s">
        <v>414</v>
      </c>
      <c r="DI59" t="s">
        <v>878</v>
      </c>
      <c r="DK59">
        <v>1351</v>
      </c>
      <c r="DL59">
        <v>239</v>
      </c>
      <c r="DM59">
        <v>80.027387120699998</v>
      </c>
      <c r="DN59">
        <v>3660</v>
      </c>
      <c r="DO59">
        <v>250</v>
      </c>
      <c r="DP59">
        <v>170.1781420765</v>
      </c>
      <c r="DQ59">
        <v>147.72</v>
      </c>
    </row>
    <row r="60" spans="2:121" x14ac:dyDescent="0.2">
      <c r="F60" t="s">
        <v>141</v>
      </c>
      <c r="G60">
        <v>516</v>
      </c>
      <c r="H60">
        <v>387.47868217050001</v>
      </c>
      <c r="I60">
        <v>410</v>
      </c>
      <c r="J60">
        <v>129</v>
      </c>
      <c r="K60">
        <v>788</v>
      </c>
      <c r="L60">
        <v>494</v>
      </c>
      <c r="M60">
        <v>80</v>
      </c>
      <c r="N60">
        <v>72</v>
      </c>
      <c r="O60">
        <v>110</v>
      </c>
      <c r="P60">
        <v>77</v>
      </c>
      <c r="Q60">
        <v>0</v>
      </c>
      <c r="R60">
        <v>1</v>
      </c>
      <c r="BJ60" t="s">
        <v>556</v>
      </c>
      <c r="BK60" t="s">
        <v>390</v>
      </c>
      <c r="BL60">
        <v>17750</v>
      </c>
      <c r="BM60">
        <v>6068</v>
      </c>
      <c r="BN60" s="156">
        <v>117.0886760563</v>
      </c>
      <c r="BO60">
        <v>40189</v>
      </c>
      <c r="BP60">
        <v>3421</v>
      </c>
      <c r="BQ60">
        <v>203.4828186817</v>
      </c>
      <c r="BR60">
        <v>173.76439637530001</v>
      </c>
      <c r="BS60">
        <v>14669</v>
      </c>
      <c r="BT60">
        <v>4235</v>
      </c>
      <c r="BU60">
        <v>107.0014315904</v>
      </c>
      <c r="BV60">
        <v>34320</v>
      </c>
      <c r="BW60">
        <v>2729</v>
      </c>
      <c r="BX60">
        <v>197.59367715619999</v>
      </c>
      <c r="BY60">
        <v>168.53609380730001</v>
      </c>
      <c r="CA60" t="s">
        <v>398</v>
      </c>
      <c r="CB60" t="s">
        <v>932</v>
      </c>
      <c r="CC60" t="s">
        <v>1047</v>
      </c>
      <c r="CD60">
        <v>8469</v>
      </c>
      <c r="CE60">
        <v>3373</v>
      </c>
      <c r="CF60">
        <v>128.11004841190001</v>
      </c>
      <c r="CG60">
        <v>19317</v>
      </c>
      <c r="CH60">
        <v>1526</v>
      </c>
      <c r="CI60">
        <v>198.65424237720001</v>
      </c>
      <c r="CJ60">
        <v>200.08256880729999</v>
      </c>
      <c r="CL60" t="s">
        <v>398</v>
      </c>
      <c r="CM60" t="s">
        <v>917</v>
      </c>
      <c r="CN60" t="s">
        <v>916</v>
      </c>
      <c r="CO60">
        <v>510</v>
      </c>
      <c r="CP60">
        <v>36</v>
      </c>
      <c r="CQ60">
        <v>57.013725490200002</v>
      </c>
      <c r="CR60">
        <v>3397</v>
      </c>
      <c r="CS60">
        <v>226</v>
      </c>
      <c r="CT60">
        <v>49.093612010599998</v>
      </c>
      <c r="CU60">
        <v>42.278761061899999</v>
      </c>
      <c r="CW60" t="s">
        <v>398</v>
      </c>
      <c r="CX60" t="s">
        <v>925</v>
      </c>
      <c r="CY60" t="s">
        <v>924</v>
      </c>
      <c r="CZ60">
        <v>134</v>
      </c>
      <c r="DA60">
        <v>21</v>
      </c>
      <c r="DB60">
        <v>82.268656716400002</v>
      </c>
      <c r="DC60">
        <v>293</v>
      </c>
      <c r="DD60">
        <v>17</v>
      </c>
      <c r="DE60">
        <v>141.97610921500001</v>
      </c>
      <c r="DF60">
        <v>139.4705882353</v>
      </c>
      <c r="DH60" t="s">
        <v>398</v>
      </c>
      <c r="DI60" t="s">
        <v>909</v>
      </c>
      <c r="DJ60" t="s">
        <v>908</v>
      </c>
      <c r="DK60">
        <v>130</v>
      </c>
      <c r="DL60">
        <v>29</v>
      </c>
      <c r="DM60">
        <v>86.515384615399995</v>
      </c>
      <c r="DN60">
        <v>302</v>
      </c>
      <c r="DO60">
        <v>17</v>
      </c>
      <c r="DP60">
        <v>144.51324503309999</v>
      </c>
      <c r="DQ60">
        <v>140.76470588239999</v>
      </c>
    </row>
    <row r="61" spans="2:121" x14ac:dyDescent="0.2">
      <c r="F61" t="s">
        <v>59</v>
      </c>
      <c r="G61">
        <v>5776</v>
      </c>
      <c r="H61">
        <v>211.7612534626</v>
      </c>
      <c r="I61">
        <v>5823</v>
      </c>
      <c r="J61">
        <v>1355</v>
      </c>
      <c r="K61">
        <v>8244</v>
      </c>
      <c r="L61">
        <v>3827</v>
      </c>
      <c r="M61">
        <v>293</v>
      </c>
      <c r="N61">
        <v>211</v>
      </c>
      <c r="O61">
        <v>327</v>
      </c>
      <c r="P61">
        <v>145</v>
      </c>
      <c r="Q61">
        <v>151</v>
      </c>
      <c r="R61">
        <v>0</v>
      </c>
      <c r="BJ61" t="s">
        <v>564</v>
      </c>
      <c r="BK61" t="s">
        <v>390</v>
      </c>
      <c r="BL61">
        <v>10103</v>
      </c>
      <c r="BM61">
        <v>3067</v>
      </c>
      <c r="BN61" s="156">
        <v>114.5794318519</v>
      </c>
      <c r="BO61">
        <v>23844</v>
      </c>
      <c r="BP61">
        <v>1670</v>
      </c>
      <c r="BQ61">
        <v>203.26841134040001</v>
      </c>
      <c r="BR61">
        <v>173.3353293413</v>
      </c>
      <c r="BS61">
        <v>10624</v>
      </c>
      <c r="BT61">
        <v>3547</v>
      </c>
      <c r="BU61">
        <v>116.7913215361</v>
      </c>
      <c r="BV61">
        <v>22317</v>
      </c>
      <c r="BW61">
        <v>1915</v>
      </c>
      <c r="BX61">
        <v>198.91943361560001</v>
      </c>
      <c r="BY61">
        <v>174.93420365540001</v>
      </c>
      <c r="CA61" t="s">
        <v>435</v>
      </c>
      <c r="CB61" t="s">
        <v>932</v>
      </c>
      <c r="CC61" t="s">
        <v>1048</v>
      </c>
      <c r="CD61">
        <v>27181</v>
      </c>
      <c r="CE61">
        <v>11132</v>
      </c>
      <c r="CF61">
        <v>139.09076192929999</v>
      </c>
      <c r="CG61">
        <v>62781</v>
      </c>
      <c r="CH61">
        <v>5011</v>
      </c>
      <c r="CI61">
        <v>211.9772224081</v>
      </c>
      <c r="CJ61">
        <v>175.45579724609999</v>
      </c>
      <c r="CL61" t="s">
        <v>435</v>
      </c>
      <c r="CM61" t="s">
        <v>917</v>
      </c>
      <c r="CN61" t="s">
        <v>918</v>
      </c>
      <c r="CO61">
        <v>1333</v>
      </c>
      <c r="CP61">
        <v>210</v>
      </c>
      <c r="CQ61">
        <v>75.800450112500002</v>
      </c>
      <c r="CR61">
        <v>8420</v>
      </c>
      <c r="CS61">
        <v>643</v>
      </c>
      <c r="CT61">
        <v>73.814489311200006</v>
      </c>
      <c r="CU61">
        <v>71.993779160200006</v>
      </c>
      <c r="CW61" t="s">
        <v>435</v>
      </c>
      <c r="CX61" t="s">
        <v>925</v>
      </c>
      <c r="CY61" t="s">
        <v>926</v>
      </c>
      <c r="CZ61">
        <v>708</v>
      </c>
      <c r="DA61">
        <v>161</v>
      </c>
      <c r="DB61">
        <v>84.778248587600004</v>
      </c>
      <c r="DC61">
        <v>1479</v>
      </c>
      <c r="DD61">
        <v>116</v>
      </c>
      <c r="DE61">
        <v>141.80324543610001</v>
      </c>
      <c r="DF61">
        <v>132.14655172409999</v>
      </c>
      <c r="DH61" t="s">
        <v>435</v>
      </c>
      <c r="DI61" t="s">
        <v>909</v>
      </c>
      <c r="DJ61" t="s">
        <v>910</v>
      </c>
      <c r="DK61">
        <v>741</v>
      </c>
      <c r="DL61">
        <v>162</v>
      </c>
      <c r="DM61">
        <v>82.213225371099995</v>
      </c>
      <c r="DN61">
        <v>1591</v>
      </c>
      <c r="DO61">
        <v>145</v>
      </c>
      <c r="DP61">
        <v>141.03079824010001</v>
      </c>
      <c r="DQ61">
        <v>140.8413793103</v>
      </c>
    </row>
    <row r="62" spans="2:121" x14ac:dyDescent="0.2">
      <c r="BJ62" t="s">
        <v>580</v>
      </c>
      <c r="BK62" t="s">
        <v>390</v>
      </c>
      <c r="BL62">
        <v>7387</v>
      </c>
      <c r="BM62">
        <v>3794</v>
      </c>
      <c r="BN62" s="156">
        <v>178.5122512522</v>
      </c>
      <c r="BO62">
        <v>15047</v>
      </c>
      <c r="BP62">
        <v>1163</v>
      </c>
      <c r="BQ62">
        <v>228.70200039880001</v>
      </c>
      <c r="BR62">
        <v>213.96818572660001</v>
      </c>
      <c r="BS62">
        <v>8136</v>
      </c>
      <c r="BT62">
        <v>4290</v>
      </c>
      <c r="BU62">
        <v>180.5508849558</v>
      </c>
      <c r="BV62">
        <v>15633</v>
      </c>
      <c r="BW62">
        <v>1226</v>
      </c>
      <c r="BX62">
        <v>230.02718608070001</v>
      </c>
      <c r="BY62">
        <v>217.4388254486</v>
      </c>
      <c r="CA62" t="s">
        <v>391</v>
      </c>
      <c r="CB62" t="s">
        <v>932</v>
      </c>
      <c r="CC62" t="s">
        <v>1049</v>
      </c>
      <c r="CD62">
        <v>18349</v>
      </c>
      <c r="CE62">
        <v>6306</v>
      </c>
      <c r="CF62">
        <v>118.39816883749999</v>
      </c>
      <c r="CG62">
        <v>44645</v>
      </c>
      <c r="CH62">
        <v>3742</v>
      </c>
      <c r="CI62">
        <v>195.18635905479999</v>
      </c>
      <c r="CJ62">
        <v>168.39230358099999</v>
      </c>
      <c r="CL62" t="s">
        <v>391</v>
      </c>
      <c r="CM62" t="s">
        <v>917</v>
      </c>
      <c r="CN62" t="s">
        <v>919</v>
      </c>
      <c r="CO62">
        <v>748</v>
      </c>
      <c r="CP62">
        <v>108</v>
      </c>
      <c r="CQ62">
        <v>78.197860962600004</v>
      </c>
      <c r="CR62">
        <v>3975</v>
      </c>
      <c r="CS62">
        <v>325</v>
      </c>
      <c r="CT62">
        <v>73.993207547200001</v>
      </c>
      <c r="CU62">
        <v>65.535384615400005</v>
      </c>
      <c r="CW62" t="s">
        <v>391</v>
      </c>
      <c r="CX62" t="s">
        <v>925</v>
      </c>
      <c r="CY62" t="s">
        <v>927</v>
      </c>
      <c r="CZ62">
        <v>405</v>
      </c>
      <c r="DA62">
        <v>87</v>
      </c>
      <c r="DB62">
        <v>77.928395061700002</v>
      </c>
      <c r="DC62">
        <v>816</v>
      </c>
      <c r="DD62">
        <v>60</v>
      </c>
      <c r="DE62">
        <v>155.5379901961</v>
      </c>
      <c r="DF62">
        <v>140.5666666667</v>
      </c>
      <c r="DH62" t="s">
        <v>391</v>
      </c>
      <c r="DI62" t="s">
        <v>909</v>
      </c>
      <c r="DJ62" t="s">
        <v>911</v>
      </c>
      <c r="DK62">
        <v>403</v>
      </c>
      <c r="DL62">
        <v>82</v>
      </c>
      <c r="DM62">
        <v>85.233250620299998</v>
      </c>
      <c r="DN62">
        <v>811</v>
      </c>
      <c r="DO62">
        <v>75</v>
      </c>
      <c r="DP62">
        <v>151.46485819980001</v>
      </c>
      <c r="DQ62">
        <v>148.84</v>
      </c>
    </row>
    <row r="63" spans="2:121" x14ac:dyDescent="0.2">
      <c r="BJ63" t="s">
        <v>570</v>
      </c>
      <c r="BK63" t="s">
        <v>390</v>
      </c>
      <c r="BL63">
        <v>8092</v>
      </c>
      <c r="BM63">
        <v>3225</v>
      </c>
      <c r="BN63" s="156">
        <v>127.7932525952</v>
      </c>
      <c r="BO63">
        <v>17706</v>
      </c>
      <c r="BP63">
        <v>1387</v>
      </c>
      <c r="BQ63">
        <v>206.12176663279999</v>
      </c>
      <c r="BR63">
        <v>212.85508291279999</v>
      </c>
      <c r="BS63">
        <v>7462</v>
      </c>
      <c r="BT63">
        <v>2706</v>
      </c>
      <c r="BU63">
        <v>123.4697132136</v>
      </c>
      <c r="BV63">
        <v>17753</v>
      </c>
      <c r="BW63">
        <v>1254</v>
      </c>
      <c r="BX63">
        <v>207.9270545823</v>
      </c>
      <c r="BY63">
        <v>220.9202551834</v>
      </c>
      <c r="CA63" t="s">
        <v>403</v>
      </c>
      <c r="CB63" t="s">
        <v>932</v>
      </c>
      <c r="CC63" t="s">
        <v>1050</v>
      </c>
      <c r="CD63">
        <v>4801</v>
      </c>
      <c r="CE63">
        <v>1784</v>
      </c>
      <c r="CF63">
        <v>134.1601749635</v>
      </c>
      <c r="CG63">
        <v>11930</v>
      </c>
      <c r="CH63">
        <v>925</v>
      </c>
      <c r="CI63">
        <v>172.8772841576</v>
      </c>
      <c r="CJ63">
        <v>164.26054054049999</v>
      </c>
      <c r="CL63" t="s">
        <v>403</v>
      </c>
      <c r="CM63" t="s">
        <v>917</v>
      </c>
      <c r="CN63" t="s">
        <v>920</v>
      </c>
      <c r="CO63">
        <v>247</v>
      </c>
      <c r="CP63">
        <v>19</v>
      </c>
      <c r="CQ63">
        <v>54.825910931199999</v>
      </c>
      <c r="CR63">
        <v>1723</v>
      </c>
      <c r="CS63">
        <v>120</v>
      </c>
      <c r="CT63">
        <v>56.769587928</v>
      </c>
      <c r="CU63">
        <v>39.424999999999997</v>
      </c>
      <c r="CW63" t="s">
        <v>403</v>
      </c>
      <c r="CX63" t="s">
        <v>925</v>
      </c>
      <c r="CY63" t="s">
        <v>928</v>
      </c>
      <c r="CZ63">
        <v>92</v>
      </c>
      <c r="DA63">
        <v>18</v>
      </c>
      <c r="DB63">
        <v>77.521739130399993</v>
      </c>
      <c r="DC63">
        <v>197</v>
      </c>
      <c r="DD63">
        <v>8</v>
      </c>
      <c r="DE63">
        <v>138.21319796949999</v>
      </c>
      <c r="DF63">
        <v>116.875</v>
      </c>
      <c r="DH63" t="s">
        <v>403</v>
      </c>
      <c r="DI63" t="s">
        <v>909</v>
      </c>
      <c r="DJ63" t="s">
        <v>912</v>
      </c>
      <c r="DK63">
        <v>116</v>
      </c>
      <c r="DL63">
        <v>20</v>
      </c>
      <c r="DM63">
        <v>77.948275862100004</v>
      </c>
      <c r="DN63">
        <v>245</v>
      </c>
      <c r="DO63">
        <v>19</v>
      </c>
      <c r="DP63">
        <v>129.64489795919999</v>
      </c>
      <c r="DQ63">
        <v>123</v>
      </c>
    </row>
    <row r="64" spans="2:121" x14ac:dyDescent="0.2">
      <c r="BJ64" t="s">
        <v>566</v>
      </c>
      <c r="BK64" t="s">
        <v>390</v>
      </c>
      <c r="BL64">
        <v>9640</v>
      </c>
      <c r="BM64">
        <v>2793</v>
      </c>
      <c r="BN64" s="156">
        <v>104.20850622410001</v>
      </c>
      <c r="BO64">
        <v>22465</v>
      </c>
      <c r="BP64">
        <v>1681</v>
      </c>
      <c r="BQ64">
        <v>156.84535944800001</v>
      </c>
      <c r="BR64">
        <v>146.7079119572</v>
      </c>
      <c r="BS64">
        <v>10817</v>
      </c>
      <c r="BT64">
        <v>4125</v>
      </c>
      <c r="BU64">
        <v>129.881390404</v>
      </c>
      <c r="BV64">
        <v>25861</v>
      </c>
      <c r="BW64">
        <v>2116</v>
      </c>
      <c r="BX64">
        <v>169.89892115539999</v>
      </c>
      <c r="BY64">
        <v>174.72495274100001</v>
      </c>
      <c r="CA64" t="s">
        <v>437</v>
      </c>
      <c r="CB64" t="s">
        <v>932</v>
      </c>
      <c r="CC64" t="s">
        <v>1051</v>
      </c>
      <c r="CD64">
        <v>2878</v>
      </c>
      <c r="CE64">
        <v>824</v>
      </c>
      <c r="CF64">
        <v>111.1935371786</v>
      </c>
      <c r="CG64">
        <v>7088</v>
      </c>
      <c r="CH64">
        <v>560</v>
      </c>
      <c r="CI64">
        <v>165.7966986456</v>
      </c>
      <c r="CJ64">
        <v>143.0428571429</v>
      </c>
      <c r="CL64" t="s">
        <v>437</v>
      </c>
      <c r="CM64" t="s">
        <v>917</v>
      </c>
      <c r="CN64" t="s">
        <v>921</v>
      </c>
      <c r="CO64">
        <v>297</v>
      </c>
      <c r="CP64">
        <v>36</v>
      </c>
      <c r="CQ64">
        <v>64.750841750800006</v>
      </c>
      <c r="CR64">
        <v>1863</v>
      </c>
      <c r="CS64">
        <v>137</v>
      </c>
      <c r="CT64">
        <v>81.139559849700007</v>
      </c>
      <c r="CU64">
        <v>84.751824817499994</v>
      </c>
      <c r="CW64" t="s">
        <v>437</v>
      </c>
      <c r="CX64" t="s">
        <v>925</v>
      </c>
      <c r="CY64" t="s">
        <v>929</v>
      </c>
      <c r="CZ64">
        <v>12</v>
      </c>
      <c r="DA64">
        <v>1</v>
      </c>
      <c r="DB64">
        <v>64</v>
      </c>
      <c r="DC64">
        <v>22</v>
      </c>
      <c r="DD64">
        <v>3</v>
      </c>
      <c r="DE64">
        <v>116</v>
      </c>
      <c r="DF64">
        <v>88.666666666699996</v>
      </c>
      <c r="DH64" t="s">
        <v>437</v>
      </c>
      <c r="DI64" t="s">
        <v>909</v>
      </c>
      <c r="DJ64" t="s">
        <v>913</v>
      </c>
      <c r="DK64">
        <v>7</v>
      </c>
      <c r="DL64">
        <v>0</v>
      </c>
      <c r="DM64">
        <v>62.714285714299997</v>
      </c>
      <c r="DN64">
        <v>37</v>
      </c>
      <c r="DO64">
        <v>2</v>
      </c>
      <c r="DP64">
        <v>159.7567567568</v>
      </c>
      <c r="DQ64">
        <v>122</v>
      </c>
    </row>
    <row r="65" spans="62:121" x14ac:dyDescent="0.2">
      <c r="BJ65" t="s">
        <v>630</v>
      </c>
      <c r="BK65" t="s">
        <v>390</v>
      </c>
      <c r="BL65">
        <v>2903</v>
      </c>
      <c r="BM65">
        <v>821</v>
      </c>
      <c r="BN65" s="156">
        <v>110.1405442646</v>
      </c>
      <c r="BO65">
        <v>6903</v>
      </c>
      <c r="BP65">
        <v>539</v>
      </c>
      <c r="BQ65">
        <v>167.0570766333</v>
      </c>
      <c r="BR65">
        <v>142.0649350649</v>
      </c>
      <c r="BS65">
        <v>3671</v>
      </c>
      <c r="BT65">
        <v>1543</v>
      </c>
      <c r="BU65">
        <v>133.4856987197</v>
      </c>
      <c r="BV65">
        <v>8654</v>
      </c>
      <c r="BW65">
        <v>710</v>
      </c>
      <c r="BX65">
        <v>173.7505199908</v>
      </c>
      <c r="BY65">
        <v>167.2802816901</v>
      </c>
      <c r="CA65" t="s">
        <v>393</v>
      </c>
      <c r="CB65" t="s">
        <v>932</v>
      </c>
      <c r="CC65" t="s">
        <v>1052</v>
      </c>
      <c r="CD65">
        <v>10339</v>
      </c>
      <c r="CE65">
        <v>3218</v>
      </c>
      <c r="CF65">
        <v>116.771061031</v>
      </c>
      <c r="CG65">
        <v>25205</v>
      </c>
      <c r="CH65">
        <v>1789</v>
      </c>
      <c r="CI65">
        <v>198.82539178729999</v>
      </c>
      <c r="CJ65">
        <v>170.4348798211</v>
      </c>
      <c r="CL65" t="s">
        <v>393</v>
      </c>
      <c r="CM65" t="s">
        <v>917</v>
      </c>
      <c r="CN65" t="s">
        <v>922</v>
      </c>
      <c r="CO65">
        <v>394</v>
      </c>
      <c r="CP65">
        <v>61</v>
      </c>
      <c r="CQ65">
        <v>73.591370558400001</v>
      </c>
      <c r="CR65">
        <v>2560</v>
      </c>
      <c r="CS65">
        <v>190</v>
      </c>
      <c r="CT65">
        <v>72.319531249999997</v>
      </c>
      <c r="CU65">
        <v>66.705263157900006</v>
      </c>
      <c r="CW65" t="s">
        <v>393</v>
      </c>
      <c r="CX65" t="s">
        <v>925</v>
      </c>
      <c r="CY65" t="s">
        <v>930</v>
      </c>
      <c r="CZ65">
        <v>197</v>
      </c>
      <c r="DA65">
        <v>40</v>
      </c>
      <c r="DB65">
        <v>79.568527918800001</v>
      </c>
      <c r="DC65">
        <v>524</v>
      </c>
      <c r="DD65">
        <v>43</v>
      </c>
      <c r="DE65">
        <v>153.2767175573</v>
      </c>
      <c r="DF65">
        <v>139.83720930230001</v>
      </c>
      <c r="DH65" t="s">
        <v>393</v>
      </c>
      <c r="DI65" t="s">
        <v>909</v>
      </c>
      <c r="DJ65" t="s">
        <v>914</v>
      </c>
      <c r="DK65">
        <v>220</v>
      </c>
      <c r="DL65">
        <v>51</v>
      </c>
      <c r="DM65">
        <v>87.777272727300002</v>
      </c>
      <c r="DN65">
        <v>383</v>
      </c>
      <c r="DO65">
        <v>34</v>
      </c>
      <c r="DP65">
        <v>139.20104438640001</v>
      </c>
      <c r="DQ65">
        <v>136.29411764709999</v>
      </c>
    </row>
    <row r="66" spans="62:121" x14ac:dyDescent="0.2">
      <c r="BJ66" t="s">
        <v>390</v>
      </c>
      <c r="BK66" t="s">
        <v>390</v>
      </c>
      <c r="BL66">
        <v>81826</v>
      </c>
      <c r="BM66">
        <v>30338</v>
      </c>
      <c r="BN66" s="156">
        <v>128.5492875125</v>
      </c>
      <c r="BO66">
        <v>185210</v>
      </c>
      <c r="BP66">
        <v>14595</v>
      </c>
      <c r="BQ66">
        <v>203.322417796</v>
      </c>
      <c r="BR66">
        <v>178.1849263446</v>
      </c>
      <c r="BS66">
        <v>76257</v>
      </c>
      <c r="BT66">
        <v>27887</v>
      </c>
      <c r="BU66">
        <v>127.1634735172</v>
      </c>
      <c r="BV66">
        <v>172632</v>
      </c>
      <c r="BW66">
        <v>13794</v>
      </c>
      <c r="BX66">
        <v>201.74552805970001</v>
      </c>
      <c r="BY66">
        <v>180.0295055821</v>
      </c>
      <c r="CA66" t="s">
        <v>394</v>
      </c>
      <c r="CB66" t="s">
        <v>932</v>
      </c>
      <c r="CC66" t="s">
        <v>1053</v>
      </c>
      <c r="CD66">
        <v>9813</v>
      </c>
      <c r="CE66">
        <v>2903</v>
      </c>
      <c r="CF66">
        <v>105.97116070520001</v>
      </c>
      <c r="CG66">
        <v>24171</v>
      </c>
      <c r="CH66">
        <v>1797</v>
      </c>
      <c r="CI66">
        <v>153.1748789872</v>
      </c>
      <c r="CJ66">
        <v>140.83806343910001</v>
      </c>
      <c r="CL66" t="s">
        <v>394</v>
      </c>
      <c r="CM66" t="s">
        <v>917</v>
      </c>
      <c r="CN66" t="s">
        <v>923</v>
      </c>
      <c r="CO66">
        <v>505</v>
      </c>
      <c r="CP66">
        <v>35</v>
      </c>
      <c r="CQ66">
        <v>50.605940594099998</v>
      </c>
      <c r="CR66">
        <v>3278</v>
      </c>
      <c r="CS66">
        <v>250</v>
      </c>
      <c r="CT66">
        <v>51.918242831000001</v>
      </c>
      <c r="CU66">
        <v>53.744</v>
      </c>
      <c r="CW66" t="s">
        <v>394</v>
      </c>
      <c r="CX66" t="s">
        <v>925</v>
      </c>
      <c r="CY66" t="s">
        <v>931</v>
      </c>
      <c r="CZ66">
        <v>199</v>
      </c>
      <c r="DA66">
        <v>35</v>
      </c>
      <c r="DB66">
        <v>76.949748743699999</v>
      </c>
      <c r="DC66">
        <v>386</v>
      </c>
      <c r="DD66">
        <v>24</v>
      </c>
      <c r="DE66">
        <v>153.18134715030001</v>
      </c>
      <c r="DF66">
        <v>144.125</v>
      </c>
      <c r="DH66" t="s">
        <v>394</v>
      </c>
      <c r="DI66" t="s">
        <v>909</v>
      </c>
      <c r="DJ66" t="s">
        <v>915</v>
      </c>
      <c r="DK66">
        <v>291</v>
      </c>
      <c r="DL66">
        <v>49</v>
      </c>
      <c r="DM66">
        <v>75.670103092800005</v>
      </c>
      <c r="DN66">
        <v>564</v>
      </c>
      <c r="DO66">
        <v>45</v>
      </c>
      <c r="DP66">
        <v>132.7695035461</v>
      </c>
      <c r="DQ66">
        <v>140.73333333330001</v>
      </c>
    </row>
    <row r="67" spans="62:121" x14ac:dyDescent="0.2">
      <c r="BJ67" t="s">
        <v>558</v>
      </c>
      <c r="BK67" t="s">
        <v>390</v>
      </c>
      <c r="BL67">
        <v>25951</v>
      </c>
      <c r="BM67">
        <v>10570</v>
      </c>
      <c r="BN67" s="156">
        <v>138.9415822126</v>
      </c>
      <c r="BO67">
        <v>59056</v>
      </c>
      <c r="BP67">
        <v>4734</v>
      </c>
      <c r="BQ67">
        <v>217.84822879980001</v>
      </c>
      <c r="BR67">
        <v>179.43113645970001</v>
      </c>
      <c r="BS67">
        <v>20878</v>
      </c>
      <c r="BT67">
        <v>7441</v>
      </c>
      <c r="BU67">
        <v>124.6031229045</v>
      </c>
      <c r="BV67">
        <v>48094</v>
      </c>
      <c r="BW67">
        <v>3844</v>
      </c>
      <c r="BX67">
        <v>216.70680334350001</v>
      </c>
      <c r="BY67">
        <v>170.7315296566</v>
      </c>
      <c r="CA67" t="s">
        <v>390</v>
      </c>
      <c r="CB67" t="s">
        <v>932</v>
      </c>
      <c r="CD67">
        <v>81830</v>
      </c>
      <c r="CE67">
        <v>29540</v>
      </c>
      <c r="CF67">
        <v>125.252193572</v>
      </c>
      <c r="CG67">
        <v>195137</v>
      </c>
      <c r="CH67">
        <v>15350</v>
      </c>
      <c r="CI67">
        <v>193.7665230069</v>
      </c>
      <c r="CJ67">
        <v>169.68716612380001</v>
      </c>
      <c r="CL67" t="s">
        <v>390</v>
      </c>
      <c r="CM67" t="s">
        <v>917</v>
      </c>
      <c r="CO67">
        <v>4034</v>
      </c>
      <c r="CP67">
        <v>505</v>
      </c>
      <c r="CQ67">
        <v>68.402330193400005</v>
      </c>
      <c r="CR67">
        <v>25216</v>
      </c>
      <c r="CS67">
        <v>1891</v>
      </c>
      <c r="CT67">
        <v>66.890664657399995</v>
      </c>
      <c r="CU67">
        <v>63.245901639300001</v>
      </c>
      <c r="CW67" t="s">
        <v>390</v>
      </c>
      <c r="CX67" t="s">
        <v>925</v>
      </c>
      <c r="CZ67">
        <v>1747</v>
      </c>
      <c r="DA67">
        <v>363</v>
      </c>
      <c r="DB67">
        <v>80.993703491700003</v>
      </c>
      <c r="DC67">
        <v>3717</v>
      </c>
      <c r="DD67">
        <v>271</v>
      </c>
      <c r="DE67">
        <v>147.2881355932</v>
      </c>
      <c r="DF67">
        <v>135.8191881919</v>
      </c>
      <c r="DH67" t="s">
        <v>390</v>
      </c>
      <c r="DI67" t="s">
        <v>909</v>
      </c>
      <c r="DK67">
        <v>1908</v>
      </c>
      <c r="DL67">
        <v>393</v>
      </c>
      <c r="DM67">
        <v>82.457023060799997</v>
      </c>
      <c r="DN67">
        <v>3933</v>
      </c>
      <c r="DO67">
        <v>337</v>
      </c>
      <c r="DP67">
        <v>141.55377574369999</v>
      </c>
      <c r="DQ67">
        <v>141.02670623149999</v>
      </c>
    </row>
    <row r="68" spans="62:121" x14ac:dyDescent="0.2">
      <c r="BJ68" t="s">
        <v>317</v>
      </c>
      <c r="BK68" t="s">
        <v>712</v>
      </c>
      <c r="BL68">
        <v>1457</v>
      </c>
      <c r="BM68">
        <v>221</v>
      </c>
      <c r="BN68" s="156">
        <v>75.625257378200004</v>
      </c>
      <c r="BO68">
        <v>1712</v>
      </c>
      <c r="BP68">
        <v>181</v>
      </c>
      <c r="BQ68">
        <v>149.3726635514</v>
      </c>
      <c r="BR68">
        <v>145.16022099450001</v>
      </c>
      <c r="BS68">
        <v>637</v>
      </c>
      <c r="BT68">
        <v>153</v>
      </c>
      <c r="BU68">
        <v>94.0345368917</v>
      </c>
      <c r="BV68">
        <v>1522</v>
      </c>
      <c r="BW68">
        <v>125</v>
      </c>
      <c r="BX68">
        <v>151.667542707</v>
      </c>
      <c r="BY68">
        <v>152.952</v>
      </c>
      <c r="CA68" t="s">
        <v>715</v>
      </c>
      <c r="CD68">
        <v>396512</v>
      </c>
      <c r="CE68">
        <v>132360</v>
      </c>
      <c r="CF68">
        <v>119.7443053426</v>
      </c>
      <c r="CG68">
        <v>999645</v>
      </c>
      <c r="CH68">
        <v>81454</v>
      </c>
      <c r="CI68">
        <v>177.1510606265</v>
      </c>
      <c r="CJ68">
        <v>161.50890072920001</v>
      </c>
      <c r="CL68" t="s">
        <v>715</v>
      </c>
      <c r="CO68">
        <v>396512</v>
      </c>
      <c r="CP68">
        <v>132360</v>
      </c>
      <c r="CQ68">
        <v>119.7443053426</v>
      </c>
      <c r="CR68">
        <v>999645</v>
      </c>
      <c r="CS68">
        <v>81454</v>
      </c>
      <c r="CT68">
        <v>177.1510606265</v>
      </c>
      <c r="CU68">
        <v>161.50890072920001</v>
      </c>
      <c r="CW68" t="s">
        <v>715</v>
      </c>
      <c r="CZ68">
        <v>396512</v>
      </c>
      <c r="DA68">
        <v>132360</v>
      </c>
      <c r="DB68">
        <v>119.7443053426</v>
      </c>
      <c r="DC68">
        <v>999645</v>
      </c>
      <c r="DD68">
        <v>81454</v>
      </c>
      <c r="DE68">
        <v>177.1510606265</v>
      </c>
      <c r="DF68">
        <v>161.50890072920001</v>
      </c>
      <c r="DH68" t="s">
        <v>715</v>
      </c>
      <c r="DK68">
        <v>396512</v>
      </c>
      <c r="DL68">
        <v>132360</v>
      </c>
      <c r="DM68">
        <v>119.7443053426</v>
      </c>
      <c r="DN68">
        <v>999645</v>
      </c>
      <c r="DO68">
        <v>81454</v>
      </c>
      <c r="DP68">
        <v>177.1510606265</v>
      </c>
      <c r="DQ68">
        <v>161.50890072920001</v>
      </c>
    </row>
    <row r="69" spans="62:121" x14ac:dyDescent="0.2">
      <c r="BJ69" t="s">
        <v>219</v>
      </c>
      <c r="BK69" t="s">
        <v>712</v>
      </c>
      <c r="BL69">
        <v>3235</v>
      </c>
      <c r="BM69">
        <v>618</v>
      </c>
      <c r="BN69" s="156">
        <v>82.297063369400007</v>
      </c>
      <c r="BO69">
        <v>9952</v>
      </c>
      <c r="BP69">
        <v>643</v>
      </c>
      <c r="BQ69">
        <v>174.6094252412</v>
      </c>
      <c r="BR69">
        <v>149.90513219280001</v>
      </c>
      <c r="BS69">
        <v>3285</v>
      </c>
      <c r="BT69">
        <v>619</v>
      </c>
      <c r="BU69">
        <v>81.5796042618</v>
      </c>
      <c r="BV69">
        <v>9963</v>
      </c>
      <c r="BW69">
        <v>647</v>
      </c>
      <c r="BX69">
        <v>174.6089531266</v>
      </c>
      <c r="BY69">
        <v>150.15455950539999</v>
      </c>
    </row>
    <row r="70" spans="62:121" x14ac:dyDescent="0.2">
      <c r="BJ70" t="s">
        <v>712</v>
      </c>
      <c r="BK70" t="s">
        <v>712</v>
      </c>
      <c r="BL70">
        <v>8196</v>
      </c>
      <c r="BM70">
        <v>1546</v>
      </c>
      <c r="BN70" s="156">
        <v>80.289165446599995</v>
      </c>
      <c r="BO70">
        <v>18851</v>
      </c>
      <c r="BP70">
        <v>1519</v>
      </c>
      <c r="BQ70">
        <v>154.40666277650001</v>
      </c>
      <c r="BR70">
        <v>144.8926925609</v>
      </c>
      <c r="BS70">
        <v>8196</v>
      </c>
      <c r="BT70">
        <v>1546</v>
      </c>
      <c r="BU70">
        <v>80.289165446599995</v>
      </c>
      <c r="BV70">
        <v>18851</v>
      </c>
      <c r="BW70">
        <v>1519</v>
      </c>
      <c r="BX70">
        <v>154.40666277650001</v>
      </c>
      <c r="BY70">
        <v>144.8926925609</v>
      </c>
    </row>
    <row r="71" spans="62:121" x14ac:dyDescent="0.2">
      <c r="BJ71" t="s">
        <v>221</v>
      </c>
      <c r="BK71" t="s">
        <v>712</v>
      </c>
      <c r="BL71">
        <v>3504</v>
      </c>
      <c r="BM71">
        <v>707</v>
      </c>
      <c r="BN71" s="156">
        <v>80.374714611900004</v>
      </c>
      <c r="BO71">
        <v>7187</v>
      </c>
      <c r="BP71">
        <v>695</v>
      </c>
      <c r="BQ71">
        <v>127.63058299710001</v>
      </c>
      <c r="BR71">
        <v>140.18561151079999</v>
      </c>
      <c r="BS71">
        <v>4274</v>
      </c>
      <c r="BT71">
        <v>774</v>
      </c>
      <c r="BU71">
        <v>77.248713149300002</v>
      </c>
      <c r="BV71">
        <v>7366</v>
      </c>
      <c r="BW71">
        <v>747</v>
      </c>
      <c r="BX71">
        <v>127.64770567470001</v>
      </c>
      <c r="BY71">
        <v>138.98661311910001</v>
      </c>
    </row>
    <row r="72" spans="62:121" x14ac:dyDescent="0.2">
      <c r="BJ72" t="s">
        <v>217</v>
      </c>
      <c r="BK72" t="s">
        <v>713</v>
      </c>
      <c r="BL72">
        <v>4609</v>
      </c>
      <c r="BM72">
        <v>377</v>
      </c>
      <c r="BN72" s="156">
        <v>54.601215014099999</v>
      </c>
      <c r="BO72">
        <v>31231</v>
      </c>
      <c r="BP72">
        <v>2301</v>
      </c>
      <c r="BQ72">
        <v>55.236623867299997</v>
      </c>
      <c r="BR72">
        <v>51.389395914799998</v>
      </c>
      <c r="BS72">
        <v>4623</v>
      </c>
      <c r="BT72">
        <v>384</v>
      </c>
      <c r="BU72">
        <v>54.891196192899997</v>
      </c>
      <c r="BV72">
        <v>31299</v>
      </c>
      <c r="BW72">
        <v>2309</v>
      </c>
      <c r="BX72">
        <v>55.543340042799997</v>
      </c>
      <c r="BY72">
        <v>51.6526634907</v>
      </c>
    </row>
    <row r="73" spans="62:121" x14ac:dyDescent="0.2">
      <c r="BJ73" t="s">
        <v>232</v>
      </c>
      <c r="BK73" t="s">
        <v>713</v>
      </c>
      <c r="BL73">
        <v>587</v>
      </c>
      <c r="BM73">
        <v>254</v>
      </c>
      <c r="BN73" s="156">
        <v>157.1567291312</v>
      </c>
      <c r="BO73">
        <v>4170</v>
      </c>
      <c r="BP73">
        <v>256</v>
      </c>
      <c r="BQ73">
        <v>66.947961630699993</v>
      </c>
      <c r="BR73">
        <v>73.87890625</v>
      </c>
      <c r="BS73">
        <v>523</v>
      </c>
      <c r="BT73">
        <v>233</v>
      </c>
      <c r="BU73">
        <v>161.27915869980001</v>
      </c>
      <c r="BV73">
        <v>3946</v>
      </c>
      <c r="BW73">
        <v>225</v>
      </c>
      <c r="BX73">
        <v>59.542828180400001</v>
      </c>
      <c r="BY73">
        <v>63.8088888889</v>
      </c>
    </row>
    <row r="74" spans="62:121" x14ac:dyDescent="0.2">
      <c r="BJ74" t="s">
        <v>218</v>
      </c>
      <c r="BK74" t="s">
        <v>713</v>
      </c>
      <c r="BL74">
        <v>6106</v>
      </c>
      <c r="BM74">
        <v>703</v>
      </c>
      <c r="BN74" s="156">
        <v>66.135931870299999</v>
      </c>
      <c r="BO74">
        <v>35023</v>
      </c>
      <c r="BP74">
        <v>2780</v>
      </c>
      <c r="BQ74">
        <v>72.569482911199998</v>
      </c>
      <c r="BR74">
        <v>65.415467625900007</v>
      </c>
      <c r="BS74">
        <v>6135</v>
      </c>
      <c r="BT74">
        <v>715</v>
      </c>
      <c r="BU74">
        <v>66.459657701699996</v>
      </c>
      <c r="BV74">
        <v>35087</v>
      </c>
      <c r="BW74">
        <v>2788</v>
      </c>
      <c r="BX74">
        <v>72.843104283599999</v>
      </c>
      <c r="BY74">
        <v>65.555236728799997</v>
      </c>
    </row>
    <row r="75" spans="62:121" x14ac:dyDescent="0.2">
      <c r="BJ75" t="s">
        <v>220</v>
      </c>
      <c r="BK75" t="s">
        <v>713</v>
      </c>
      <c r="BL75">
        <v>7683</v>
      </c>
      <c r="BM75">
        <v>492</v>
      </c>
      <c r="BN75" s="156">
        <v>54.424964206699997</v>
      </c>
      <c r="BO75">
        <v>40458</v>
      </c>
      <c r="BP75">
        <v>3046</v>
      </c>
      <c r="BQ75">
        <v>64.419793365999993</v>
      </c>
      <c r="BR75">
        <v>66.411359159599996</v>
      </c>
      <c r="BS75">
        <v>7704</v>
      </c>
      <c r="BT75">
        <v>494</v>
      </c>
      <c r="BU75">
        <v>54.522326064399998</v>
      </c>
      <c r="BV75">
        <v>40551</v>
      </c>
      <c r="BW75">
        <v>3061</v>
      </c>
      <c r="BX75">
        <v>64.692436684699999</v>
      </c>
      <c r="BY75">
        <v>66.943155831400006</v>
      </c>
    </row>
    <row r="76" spans="62:121" x14ac:dyDescent="0.2">
      <c r="BJ76" t="s">
        <v>713</v>
      </c>
      <c r="BK76" t="s">
        <v>713</v>
      </c>
      <c r="BL76">
        <v>18985</v>
      </c>
      <c r="BM76">
        <v>1826</v>
      </c>
      <c r="BN76" s="156">
        <v>61.410639978900001</v>
      </c>
      <c r="BO76">
        <v>110882</v>
      </c>
      <c r="BP76">
        <v>8383</v>
      </c>
      <c r="BQ76">
        <v>64.502489132600004</v>
      </c>
      <c r="BR76">
        <v>62.185852320199999</v>
      </c>
      <c r="BS76">
        <v>18985</v>
      </c>
      <c r="BT76">
        <v>1826</v>
      </c>
      <c r="BU76">
        <v>61.410639978900001</v>
      </c>
      <c r="BV76">
        <v>110883</v>
      </c>
      <c r="BW76">
        <v>8383</v>
      </c>
      <c r="BX76">
        <v>64.505794395899997</v>
      </c>
      <c r="BY76">
        <v>62.185852320199999</v>
      </c>
    </row>
    <row r="77" spans="62:121" x14ac:dyDescent="0.2">
      <c r="BJ77" t="s">
        <v>316</v>
      </c>
      <c r="BK77" t="s">
        <v>714</v>
      </c>
      <c r="BL77">
        <v>2410</v>
      </c>
      <c r="BM77">
        <v>252</v>
      </c>
      <c r="BN77" s="156">
        <v>63.389626556000003</v>
      </c>
      <c r="BO77">
        <v>2565</v>
      </c>
      <c r="BP77">
        <v>227</v>
      </c>
      <c r="BQ77">
        <v>126.926705653</v>
      </c>
      <c r="BR77">
        <v>106.48017621149999</v>
      </c>
      <c r="BS77">
        <v>573</v>
      </c>
      <c r="BT77">
        <v>70</v>
      </c>
      <c r="BU77">
        <v>60.808027923200001</v>
      </c>
      <c r="BV77">
        <v>521</v>
      </c>
      <c r="BW77">
        <v>26</v>
      </c>
      <c r="BX77">
        <v>200.25911708250001</v>
      </c>
      <c r="BY77">
        <v>162.73076923080001</v>
      </c>
    </row>
    <row r="78" spans="62:121" x14ac:dyDescent="0.2">
      <c r="BJ78" t="s">
        <v>978</v>
      </c>
      <c r="BK78" t="s">
        <v>714</v>
      </c>
      <c r="BL78">
        <v>2490</v>
      </c>
      <c r="BM78">
        <v>437</v>
      </c>
      <c r="BN78" s="156">
        <v>73.632530120499993</v>
      </c>
      <c r="BO78">
        <v>7953</v>
      </c>
      <c r="BP78">
        <v>595</v>
      </c>
      <c r="BQ78">
        <v>120.3552118697</v>
      </c>
      <c r="BR78">
        <v>111.64537815129999</v>
      </c>
      <c r="BS78">
        <v>3350</v>
      </c>
      <c r="BT78">
        <v>535</v>
      </c>
      <c r="BU78">
        <v>70.6874626866</v>
      </c>
      <c r="BV78">
        <v>9743</v>
      </c>
      <c r="BW78">
        <v>739</v>
      </c>
      <c r="BX78">
        <v>117.4962537206</v>
      </c>
      <c r="BY78">
        <v>107.12043301760001</v>
      </c>
    </row>
    <row r="79" spans="62:121" x14ac:dyDescent="0.2">
      <c r="BJ79" t="s">
        <v>714</v>
      </c>
      <c r="BK79" t="s">
        <v>714</v>
      </c>
      <c r="BL79">
        <v>7865</v>
      </c>
      <c r="BM79">
        <v>1429</v>
      </c>
      <c r="BN79" s="156">
        <v>76.171265098500001</v>
      </c>
      <c r="BO79">
        <v>18820</v>
      </c>
      <c r="BP79">
        <v>1391</v>
      </c>
      <c r="BQ79">
        <v>135.10042507969999</v>
      </c>
      <c r="BR79">
        <v>126.291876348</v>
      </c>
      <c r="BS79">
        <v>7865</v>
      </c>
      <c r="BT79">
        <v>1429</v>
      </c>
      <c r="BU79">
        <v>76.171265098500001</v>
      </c>
      <c r="BV79">
        <v>18820</v>
      </c>
      <c r="BW79">
        <v>1391</v>
      </c>
      <c r="BX79">
        <v>135.10042507969999</v>
      </c>
      <c r="BY79">
        <v>126.291876348</v>
      </c>
    </row>
    <row r="80" spans="62:121" x14ac:dyDescent="0.2">
      <c r="BJ80" t="s">
        <v>979</v>
      </c>
      <c r="BK80" t="s">
        <v>714</v>
      </c>
      <c r="BL80">
        <v>2965</v>
      </c>
      <c r="BM80">
        <v>740</v>
      </c>
      <c r="BN80" s="156">
        <v>88.692411467100001</v>
      </c>
      <c r="BO80">
        <v>8302</v>
      </c>
      <c r="BP80">
        <v>569</v>
      </c>
      <c r="BQ80">
        <v>151.75114430260001</v>
      </c>
      <c r="BR80">
        <v>149.51142355010001</v>
      </c>
      <c r="BS80">
        <v>3942</v>
      </c>
      <c r="BT80">
        <v>824</v>
      </c>
      <c r="BU80">
        <v>83.064687975599995</v>
      </c>
      <c r="BV80">
        <v>8556</v>
      </c>
      <c r="BW80">
        <v>626</v>
      </c>
      <c r="BX80">
        <v>151.1791725105</v>
      </c>
      <c r="BY80">
        <v>147.410543131</v>
      </c>
    </row>
    <row r="81" spans="62:77" x14ac:dyDescent="0.2">
      <c r="BJ81" t="s">
        <v>715</v>
      </c>
      <c r="BL81">
        <v>396512</v>
      </c>
      <c r="BM81">
        <v>132360</v>
      </c>
      <c r="BN81" s="156">
        <v>119.7443053426</v>
      </c>
      <c r="BO81">
        <v>999645</v>
      </c>
      <c r="BP81">
        <v>81454</v>
      </c>
      <c r="BQ81">
        <v>177.1510606265</v>
      </c>
      <c r="BR81">
        <v>161.50890072920001</v>
      </c>
      <c r="BS81">
        <v>396512</v>
      </c>
      <c r="BT81">
        <v>132360</v>
      </c>
      <c r="BU81">
        <v>119.7443053426</v>
      </c>
      <c r="BV81">
        <v>999645</v>
      </c>
      <c r="BW81">
        <v>81454</v>
      </c>
      <c r="BX81">
        <v>177.1510606265</v>
      </c>
      <c r="BY81">
        <v>161.50890072920001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407638</CP_Inventory>
    <Fiscal_Year xmlns="c9744be7-b815-40bc-84fa-afc9c406d9bc">2015</Fiscal_Year>
    <CP_Backlog xmlns="c9744be7-b815-40bc-84fa-afc9c406d9bc">140703</CP_Backlog>
    <Creation_date xmlns="c9744be7-b815-40bc-84fa-afc9c406d9bc">2015-06-01T00:00:00-04:00</Creation_date>
    <Data_date xmlns="c9744be7-b815-40bc-84fa-afc9c406d9bc">2015-05-30T00:00:00-04:00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purl.org/dc/elements/1.1/"/>
    <ds:schemaRef ds:uri="http://schemas.microsoft.com/office/2006/metadata/properties"/>
    <ds:schemaRef ds:uri="http://www.w3.org/XML/1998/namespace"/>
    <ds:schemaRef ds:uri="c9744be7-b815-40bc-84fa-afc9c406d9bc"/>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2015-06-29T20:22:14Z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