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0" yWindow="-15" windowWidth="12600" windowHeight="7575"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(TA)'!$A$1:$P$45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D39" i="35" l="1"/>
  <c r="C39" i="35"/>
  <c r="D38" i="35"/>
  <c r="C38" i="35"/>
  <c r="E38" i="35" l="1"/>
  <c r="E39" i="35"/>
  <c r="K34" i="46"/>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O12" i="35" l="1"/>
  <c r="C12" i="35"/>
  <c r="N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N18" i="35"/>
  <c r="N17" i="35"/>
  <c r="O11" i="35"/>
  <c r="O10" i="35"/>
  <c r="O9" i="35"/>
  <c r="O8" i="35"/>
  <c r="M12" i="35"/>
  <c r="M11" i="35"/>
  <c r="M10" i="35"/>
  <c r="M9" i="35"/>
  <c r="M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M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I12" i="35" l="1"/>
  <c r="H12" i="35"/>
  <c r="D35" i="35"/>
  <c r="C35" i="35"/>
  <c r="I26" i="35"/>
  <c r="H26" i="35"/>
  <c r="I25" i="35"/>
  <c r="H25" i="35"/>
  <c r="I24" i="35"/>
  <c r="H24" i="35"/>
  <c r="I23" i="35"/>
  <c r="H23" i="35"/>
  <c r="I21" i="35"/>
  <c r="H21" i="35"/>
  <c r="I20" i="35"/>
  <c r="H20" i="35"/>
  <c r="I19" i="35"/>
  <c r="H19" i="35"/>
  <c r="I17" i="35"/>
  <c r="H17" i="35"/>
  <c r="I16" i="35"/>
  <c r="H16" i="35"/>
  <c r="I15" i="35"/>
  <c r="H15" i="35"/>
  <c r="I14" i="35"/>
  <c r="H14" i="35"/>
  <c r="I13" i="35"/>
  <c r="H13" i="35"/>
  <c r="I10" i="35"/>
  <c r="H10" i="35"/>
  <c r="I9" i="35"/>
  <c r="H9" i="35"/>
  <c r="I8" i="35"/>
  <c r="H8" i="35"/>
  <c r="D44" i="35"/>
  <c r="C44" i="35"/>
  <c r="D43" i="35"/>
  <c r="C43" i="35"/>
  <c r="D42" i="35"/>
  <c r="C42" i="35"/>
  <c r="D41" i="35"/>
  <c r="C41" i="35"/>
  <c r="D40" i="35"/>
  <c r="C40" i="35"/>
  <c r="D37" i="35"/>
  <c r="C37" i="35"/>
  <c r="D34" i="35"/>
  <c r="C34" i="35"/>
  <c r="D33" i="35"/>
  <c r="C33" i="35"/>
  <c r="D32" i="35"/>
  <c r="C32" i="35"/>
  <c r="D31" i="35"/>
  <c r="C31" i="35"/>
  <c r="D29" i="35"/>
  <c r="C29" i="35"/>
  <c r="D28" i="35"/>
  <c r="C28" i="35"/>
  <c r="D27" i="35"/>
  <c r="C27" i="35"/>
  <c r="D26" i="35"/>
  <c r="C26" i="35"/>
  <c r="D25" i="35"/>
  <c r="C25" i="35"/>
  <c r="D24" i="35"/>
  <c r="C24" i="35"/>
  <c r="D23" i="35"/>
  <c r="C23" i="35"/>
  <c r="D21" i="35"/>
  <c r="C21" i="35"/>
  <c r="D20" i="35"/>
  <c r="C20" i="35"/>
  <c r="D19" i="35"/>
  <c r="C19" i="35"/>
  <c r="D18" i="35"/>
  <c r="C18" i="35"/>
  <c r="D17" i="35"/>
  <c r="C17" i="35"/>
  <c r="D16" i="35"/>
  <c r="C16" i="35"/>
  <c r="D15" i="35"/>
  <c r="C15" i="35"/>
  <c r="D13" i="35"/>
  <c r="C13" i="35"/>
  <c r="D12" i="35"/>
  <c r="E12" i="35" s="1"/>
  <c r="D10" i="35"/>
  <c r="C10" i="35"/>
  <c r="D9" i="35"/>
  <c r="C9" i="35"/>
  <c r="D8" i="35"/>
  <c r="C8" i="35"/>
  <c r="J14" i="35" l="1"/>
  <c r="J16" i="35"/>
  <c r="E34" i="35"/>
  <c r="E40" i="35"/>
  <c r="E42" i="35"/>
  <c r="J9" i="35"/>
  <c r="J20" i="35"/>
  <c r="J23" i="35"/>
  <c r="E21" i="35"/>
  <c r="J12" i="35"/>
  <c r="E13" i="35"/>
  <c r="E16" i="35"/>
  <c r="E18" i="35"/>
  <c r="E20" i="35"/>
  <c r="E23" i="35"/>
  <c r="E25" i="35"/>
  <c r="E27" i="35"/>
  <c r="E29" i="35"/>
  <c r="E32" i="35"/>
  <c r="E15" i="35"/>
  <c r="J25" i="35"/>
  <c r="E17" i="35"/>
  <c r="E19" i="35"/>
  <c r="E24" i="35"/>
  <c r="E26" i="35"/>
  <c r="E28" i="35"/>
  <c r="E31" i="35"/>
  <c r="E10" i="35"/>
  <c r="E8" i="35"/>
  <c r="E9" i="35"/>
  <c r="E35" i="35"/>
  <c r="E33" i="35"/>
  <c r="E44" i="35"/>
  <c r="J13" i="35"/>
  <c r="J15" i="35"/>
  <c r="J17" i="35"/>
  <c r="E37" i="35"/>
  <c r="E41" i="35"/>
  <c r="E43" i="35"/>
  <c r="J8" i="35"/>
  <c r="J10" i="35"/>
  <c r="J19" i="35"/>
  <c r="J21" i="35"/>
  <c r="J24" i="35"/>
  <c r="J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H22" i="35"/>
  <c r="J11" i="7"/>
  <c r="J15" i="7"/>
  <c r="I22" i="35"/>
  <c r="H7" i="35"/>
  <c r="C7" i="35"/>
  <c r="J13" i="7"/>
  <c r="C14" i="35"/>
  <c r="D14" i="35"/>
  <c r="H10" i="7"/>
  <c r="J16" i="7"/>
  <c r="H18" i="35"/>
  <c r="J14" i="7"/>
  <c r="D11" i="35"/>
  <c r="J12" i="7"/>
  <c r="C11" i="35"/>
  <c r="C30" i="35"/>
  <c r="D36" i="35"/>
  <c r="C36" i="35"/>
  <c r="C22" i="35"/>
  <c r="D30" i="35"/>
  <c r="I7" i="35"/>
  <c r="I18" i="35"/>
  <c r="J6" i="7"/>
  <c r="I10" i="7"/>
  <c r="I11" i="35"/>
  <c r="H5" i="7"/>
  <c r="D22" i="35"/>
  <c r="I5" i="7"/>
  <c r="H11" i="35"/>
  <c r="D7" i="35"/>
  <c r="E22" i="35" l="1"/>
  <c r="E30" i="35"/>
  <c r="E7" i="35"/>
  <c r="J22" i="35"/>
  <c r="J7" i="35"/>
  <c r="J18" i="35"/>
  <c r="J11" i="35"/>
  <c r="E36" i="35"/>
  <c r="E11" i="35"/>
  <c r="E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(minus EP 689),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<sst xmlns="http://schemas.openxmlformats.org/spreadsheetml/2006/main" count="4090" uniqueCount="1065">
  <si>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</si>
  <si>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</si>
  <si>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</si>
  <si>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</si>
  <si>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</si>
  <si>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</si>
  <si>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</si>
  <si>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</si>
  <si>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</si>
  <si>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</si>
  <si>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</si>
  <si>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</si>
  <si>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</si>
  <si>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</si>
  <si>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</si>
  <si>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</si>
  <si>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</si>
  <si>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</si>
  <si>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</si>
  <si>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</si>
  <si>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</si>
  <si>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</si>
  <si>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</si>
  <si>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</si>
  <si>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</si>
  <si>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</si>
  <si>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</si>
  <si>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</si>
  <si>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</si>
  <si>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</si>
  <si>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</si>
  <si>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</si>
  <si>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</si>
  <si>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</si>
  <si>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</si>
  <si>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</si>
  <si>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</si>
  <si>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</si>
  <si>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</si>
  <si>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</si>
  <si>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</si>
  <si>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</si>
  <si>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</si>
  <si>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</si>
  <si>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</si>
  <si>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</si>
  <si>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</si>
  <si>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</si>
  <si>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</si>
  <si>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</si>
  <si>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</si>
  <si>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</si>
  <si>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</si>
  <si>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</si>
  <si>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</si>
  <si>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</si>
  <si>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</si>
  <si>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</si>
  <si>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</si>
  <si>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</si>
  <si>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</si>
  <si>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</si>
  <si>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</si>
  <si>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</si>
  <si>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</si>
  <si>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</si>
  <si>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</si>
  <si>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</si>
  <si>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</si>
  <si>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</si>
  <si>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</si>
  <si>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</si>
  <si>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</si>
  <si>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</si>
  <si>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</si>
  <si>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</si>
  <si>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</si>
  <si>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</si>
  <si>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</si>
  <si>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</si>
  <si>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</si>
  <si>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</si>
  <si>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</si>
  <si>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</si>
  <si>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</si>
  <si>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</si>
  <si>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</si>
  <si>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</si>
  <si>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</si>
  <si>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</si>
  <si>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</si>
  <si>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</si>
  <si>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</si>
  <si>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</si>
  <si>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</si>
  <si>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</si>
  <si>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</si>
  <si>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</si>
  <si>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</si>
  <si>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</si>
  <si>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</si>
  <si>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</si>
  <si>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</si>
  <si>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</si>
  <si>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</si>
  <si>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</si>
  <si>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</si>
  <si>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</si>
  <si>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</si>
  <si>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</si>
  <si>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</si>
  <si>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</si>
  <si>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</si>
  <si>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</si>
  <si>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</si>
  <si>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</si>
  <si>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</si>
  <si>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</si>
  <si>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</si>
  <si>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</si>
  <si>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</si>
  <si>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</si>
  <si>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</si>
  <si>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</si>
  <si>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</si>
  <si>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</si>
  <si>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</si>
  <si>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</si>
  <si>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</si>
  <si>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</si>
  <si>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</si>
  <si>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</si>
  <si>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</si>
  <si>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</si>
  <si>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</si>
  <si>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</si>
  <si>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</si>
  <si>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</si>
  <si>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</si>
  <si>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</si>
  <si>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</si>
  <si>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</si>
  <si>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</si>
  <si>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</si>
  <si>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</si>
  <si>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</si>
  <si>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</si>
  <si>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</si>
  <si>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</si>
  <si>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</si>
  <si>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</si>
  <si>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</si>
  <si>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</si>
  <si>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</si>
  <si>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</si>
  <si>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</si>
  <si>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</si>
  <si>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</si>
  <si>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</si>
  <si>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</si>
  <si>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</si>
  <si>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</si>
  <si>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</si>
  <si>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</si>
  <si>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</si>
  <si>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</si>
  <si>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</si>
  <si>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</si>
  <si>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</si>
  <si>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</si>
  <si>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</si>
  <si>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</si>
  <si>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</si>
  <si>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</si>
  <si>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</si>
  <si>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</si>
  <si>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</si>
  <si>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</si>
  <si>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</si>
  <si>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</si>
  <si>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</si>
  <si>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</si>
  <si>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</si>
  <si>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</si>
  <si>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</si>
  <si>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</si>
  <si>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</si>
  <si>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</si>
  <si>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</si>
  <si>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</si>
  <si>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</si>
  <si>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</si>
  <si>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</si>
  <si>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</si>
  <si>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</si>
  <si>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</si>
  <si>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</si>
  <si>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</si>
  <si>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</si>
  <si>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</si>
  <si>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</si>
  <si>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</si>
  <si>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</si>
  <si>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</si>
  <si>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</si>
  <si>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</si>
  <si>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</si>
  <si>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</si>
  <si>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</si>
  <si>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</si>
  <si>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</si>
  <si>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</si>
  <si>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</si>
  <si>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</si>
  <si>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</si>
  <si>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</si>
  <si>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</si>
  <si>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</si>
  <si>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</si>
  <si>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</si>
  <si>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</si>
  <si>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</si>
  <si>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</si>
  <si>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</si>
  <si>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</si>
  <si>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</si>
  <si>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</si>
  <si>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</si>
  <si>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</si>
  <si>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</si>
  <si>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</si>
  <si>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</si>
  <si>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</si>
  <si>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</si>
  <si>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</si>
  <si>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</si>
  <si>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</si>
  <si>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</si>
  <si>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</si>
  <si>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</si>
  <si>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</si>
  <si>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</si>
  <si>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</si>
  <si>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</si>
  <si>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</si>
  <si>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</si>
  <si>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</si>
  <si>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</si>
  <si>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</si>
  <si>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</si>
  <si>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</si>
  <si>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</si>
  <si>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</si>
  <si>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</si>
  <si>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</si>
  <si>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</si>
  <si>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</si>
  <si>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</si>
  <si>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</si>
  <si>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</si>
  <si>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</si>
  <si>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</si>
  <si>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</si>
  <si>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</si>
  <si>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</si>
  <si>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</si>
  <si>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</si>
  <si>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</si>
  <si>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</si>
  <si>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</si>
  <si>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</si>
  <si>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</si>
  <si>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</si>
  <si>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</si>
  <si>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</si>
  <si>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</si>
  <si>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</si>
  <si>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</si>
  <si>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</si>
  <si>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</si>
  <si>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</si>
  <si>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</si>
  <si>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</si>
  <si>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</si>
  <si>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</si>
  <si>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</si>
  <si>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</si>
  <si>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</si>
  <si>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</si>
  <si>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</si>
  <si>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</si>
  <si>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</si>
  <si>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</si>
  <si>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</si>
  <si>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</si>
  <si>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</si>
  <si>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</si>
  <si>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</si>
  <si>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</si>
  <si>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</si>
  <si>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</si>
  <si>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</si>
  <si>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</si>
  <si>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</si>
  <si>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</si>
  <si>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</si>
  <si>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</si>
  <si>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</si>
  <si>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</si>
  <si>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</si>
  <si>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</si>
  <si>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</si>
  <si>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</si>
  <si>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</si>
  <si>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</si>
  <si>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</si>
  <si>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</si>
  <si>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</si>
  <si>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</si>
  <si>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</si>
  <si>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</si>
  <si>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</si>
  <si>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</si>
  <si>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</si>
  <si>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</si>
  <si>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</si>
  <si>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</si>
  <si>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</si>
  <si>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</si>
  <si>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</si>
  <si>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</si>
  <si>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</si>
  <si>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</si>
  <si>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</si>
  <si>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</si>
  <si>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</si>
  <si>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</si>
  <si>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</si>
  <si>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</si>
  <si>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</si>
  <si>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</si>
  <si>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</si>
  <si>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</si>
  <si>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</si>
  <si>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</si>
  <si>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</si>
  <si>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</si>
  <si>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</si>
  <si>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</si>
  <si>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</si>
  <si>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</si>
  <si>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</si>
  <si>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</si>
  <si>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</si>
  <si>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</si>
  <si>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</si>
  <si>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</si>
  <si>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</si>
  <si>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</si>
  <si>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</si>
  <si>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</si>
  <si>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</si>
  <si>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</si>
  <si>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</si>
  <si>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</si>
  <si>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</si>
  <si>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</si>
  <si>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</si>
  <si>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</si>
  <si>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</si>
  <si>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</si>
  <si>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</si>
  <si>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</si>
  <si>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</si>
  <si>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</si>
  <si>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</si>
  <si>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</si>
  <si>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</si>
  <si>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</si>
  <si>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</si>
  <si>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</si>
  <si>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</si>
  <si>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</si>
  <si>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</si>
  <si>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</si>
  <si>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</si>
  <si>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</si>
  <si>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</si>
  <si>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</si>
  <si>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</si>
  <si>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</si>
  <si>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</si>
  <si>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</si>
  <si>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</si>
  <si>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</si>
  <si>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</si>
  <si>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</si>
  <si>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</si>
  <si>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</si>
  <si>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</si>
  <si>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</si>
  <si>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</si>
  <si>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</si>
  <si>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</si>
  <si>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</si>
  <si>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</si>
  <si>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</si>
  <si>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</si>
  <si>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</si>
  <si>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</si>
  <si>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</si>
  <si>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</si>
  <si>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</si>
  <si>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</si>
  <si>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</si>
  <si>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</si>
  <si>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</si>
  <si>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</si>
  <si>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</si>
  <si>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</si>
  <si>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</si>
  <si>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</si>
  <si>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</si>
  <si>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</si>
  <si>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</si>
  <si>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</si>
  <si>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</si>
  <si>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</si>
  <si>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</si>
  <si>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</si>
  <si>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</si>
  <si>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</si>
  <si>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</si>
  <si>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</si>
  <si>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</si>
  <si>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</si>
  <si>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</si>
  <si>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</si>
  <si>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</si>
  <si>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</si>
  <si>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</si>
  <si>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</si>
  <si>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</si>
  <si>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</si>
  <si>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</si>
  <si>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</si>
  <si>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</si>
  <si>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</si>
  <si>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</si>
  <si>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</si>
  <si>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</si>
  <si>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</si>
  <si>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</si>
  <si>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</si>
  <si>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</si>
  <si>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</si>
  <si>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</si>
  <si>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</si>
  <si>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</si>
  <si>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</si>
  <si>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</si>
  <si>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</si>
  <si>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</si>
  <si>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</si>
  <si>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</si>
  <si>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</si>
  <si>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</si>
  <si>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</si>
  <si>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</si>
  <si>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</si>
  <si>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</si>
  <si>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</si>
  <si>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</si>
  <si>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</si>
  <si>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</si>
  <si>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</si>
  <si>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</si>
  <si>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</si>
  <si>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</si>
  <si>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</si>
  <si>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</si>
  <si>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</si>
  <si>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</si>
  <si>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</si>
  <si>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</si>
  <si>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</si>
  <si>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</si>
  <si>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</si>
  <si>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</si>
  <si>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</si>
  <si>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</si>
  <si>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</si>
  <si>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</si>
  <si>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</si>
  <si>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</si>
  <si>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</si>
  <si>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</si>
  <si>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</si>
  <si>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</si>
  <si>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</si>
  <si>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</si>
  <si>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</si>
  <si>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</si>
  <si>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</si>
  <si>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</si>
  <si>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</si>
  <si>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</si>
  <si>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</si>
  <si>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</si>
  <si>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</si>
  <si>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</si>
  <si>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</si>
  <si>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</si>
  <si>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</si>
  <si>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</si>
  <si>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</si>
  <si>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</si>
  <si>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</si>
  <si>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</si>
  <si>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</si>
  <si>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</si>
  <si>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</si>
  <si>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</si>
  <si>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</si>
  <si>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</si>
  <si>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</si>
  <si>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</si>
  <si>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</si>
  <si>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</si>
  <si>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</si>
  <si>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</si>
  <si>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</si>
  <si>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</si>
  <si>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</si>
  <si>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</si>
  <si>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</si>
  <si>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</si>
  <si>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</si>
  <si>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</si>
  <si>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</si>
  <si>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</si>
  <si>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</si>
  <si>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</si>
  <si>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</si>
  <si>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</si>
  <si>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</si>
  <si>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</si>
  <si>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</si>
  <si>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</si>
  <si>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</si>
  <si>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</si>
  <si>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</si>
  <si>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</si>
  <si>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</si>
  <si>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</si>
  <si>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</si>
  <si>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</si>
  <si>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</si>
  <si>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</si>
  <si>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</si>
  <si>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</si>
  <si>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</si>
  <si>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</si>
  <si>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</si>
  <si>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</si>
  <si>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</si>
  <si>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</si>
  <si>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</si>
  <si>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</si>
  <si>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</si>
  <si>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</si>
  <si>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</si>
  <si>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</si>
  <si>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</si>
  <si>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</si>
  <si>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</si>
  <si>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</si>
  <si>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</si>
  <si>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</si>
  <si>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</si>
  <si>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</si>
  <si>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</si>
  <si>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</si>
  <si>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</si>
  <si>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</si>
  <si>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</si>
  <si>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</si>
  <si>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</si>
  <si>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</si>
  <si>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</si>
  <si>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</si>
  <si>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</si>
  <si>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</si>
  <si>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</si>
  <si>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</si>
  <si>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</si>
  <si>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</si>
  <si>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</si>
  <si>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</si>
  <si>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</si>
  <si>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</si>
  <si>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</si>
  <si>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</si>
  <si>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</si>
  <si>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</si>
  <si>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</si>
  <si>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</si>
  <si>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</si>
  <si>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</si>
  <si>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</si>
  <si>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</si>
  <si>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</si>
  <si>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</si>
  <si>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</si>
  <si>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</si>
  <si>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</si>
  <si>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</si>
  <si>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</si>
  <si>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</si>
  <si>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</si>
  <si>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</si>
  <si>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</si>
  <si>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</si>
  <si>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</si>
  <si>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</si>
  <si>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</si>
  <si>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</si>
  <si>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</si>
  <si>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</si>
  <si>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</si>
  <si>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</si>
  <si>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</si>
  <si>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</si>
  <si>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</si>
  <si>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</si>
  <si>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</si>
  <si>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</si>
  <si>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</si>
  <si>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</si>
  <si>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</si>
  <si>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</si>
  <si>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</si>
  <si>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</si>
  <si>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</si>
  <si>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</si>
  <si>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</si>
  <si>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</si>
  <si>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</si>
  <si>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</si>
  <si>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</si>
  <si>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</si>
  <si>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</si>
  <si>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</si>
  <si>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</si>
  <si>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</si>
  <si>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</si>
  <si>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</si>
  <si>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</si>
  <si>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</si>
  <si>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</si>
  <si>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</si>
  <si>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</si>
  <si>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</si>
  <si>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</si>
  <si>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</si>
  <si>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</si>
  <si>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</si>
  <si>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</si>
  <si>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</si>
  <si>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</si>
  <si>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</si>
  <si>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</si>
  <si>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</si>
  <si>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</si>
  <si>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</si>
  <si>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</si>
  <si>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</si>
  <si>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</si>
  <si>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</si>
  <si>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</si>
  <si>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</si>
  <si>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</si>
  <si>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</si>
  <si>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</si>
  <si>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</si>
  <si>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</si>
  <si>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</si>
  <si>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</si>
  <si>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</si>
  <si>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</si>
  <si>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</si>
  <si>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</si>
  <si>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</si>
  <si>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</si>
  <si>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</si>
  <si>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</si>
  <si>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</si>
  <si>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</si>
  <si>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</si>
  <si>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</si>
  <si>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</si>
  <si>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</si>
  <si>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</si>
  <si>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</si>
  <si>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</si>
  <si>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</si>
  <si>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</si>
  <si>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</si>
  <si>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</si>
  <si>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</si>
  <si>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</si>
  <si>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</si>
  <si>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</si>
  <si>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</si>
  <si>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</si>
  <si>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</si>
  <si>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</si>
  <si>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</si>
  <si>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</si>
  <si>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</si>
  <si>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</si>
  <si>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</si>
  <si>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</si>
  <si>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</si>
  <si>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</si>
  <si>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</si>
  <si>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</si>
  <si>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</si>
  <si>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</si>
  <si>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</si>
  <si>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</si>
  <si>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</si>
  <si>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</si>
  <si>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</si>
  <si>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</si>
  <si>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</si>
  <si>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</si>
  <si>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</si>
  <si>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</si>
  <si>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</si>
  <si>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</si>
  <si>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</si>
  <si>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</si>
  <si>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</si>
  <si>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</si>
  <si>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</si>
  <si>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</si>
  <si>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</si>
  <si>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</si>
  <si>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</si>
  <si>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</si>
  <si>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</si>
  <si>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</si>
  <si>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</si>
  <si>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</si>
  <si>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</si>
  <si>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</si>
  <si>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</si>
  <si>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</si>
  <si>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</si>
  <si>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</si>
  <si>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</si>
  <si>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</si>
  <si>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</si>
  <si>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</si>
  <si>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</si>
  <si>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</si>
  <si>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</si>
  <si>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</si>
  <si>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</si>
  <si>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</si>
  <si>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</si>
  <si>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</si>
  <si>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</si>
  <si>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</si>
  <si>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</si>
  <si>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</si>
  <si>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</si>
  <si>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</si>
  <si>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</si>
  <si>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</si>
  <si>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</si>
  <si>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</si>
  <si>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</si>
  <si>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</si>
  <si>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</si>
  <si>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</si>
  <si>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</si>
  <si>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</si>
  <si>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</si>
  <si>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</si>
  <si>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</si>
  <si>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</si>
  <si>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</si>
  <si>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</si>
  <si>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</si>
  <si>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</si>
  <si>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</si>
  <si>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</si>
  <si>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</si>
  <si>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</si>
  <si>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</si>
  <si>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</si>
  <si>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</si>
  <si>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</si>
  <si>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</si>
  <si>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</si>
  <si>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</si>
  <si>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</si>
  <si>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</si>
  <si>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</si>
  <si>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</si>
  <si>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</si>
  <si>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</si>
  <si>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</si>
  <si>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</si>
  <si>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</si>
  <si>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</si>
  <si>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</si>
  <si>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</si>
  <si>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</si>
  <si>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</si>
  <si>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</si>
  <si>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</si>
  <si>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</si>
  <si>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</si>
  <si>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</si>
  <si>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</si>
  <si>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</si>
  <si>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</si>
  <si>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</si>
  <si>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</si>
  <si>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</si>
  <si>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</si>
  <si>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</si>
  <si>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</si>
  <si>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</si>
  <si>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</si>
  <si>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</si>
  <si>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</si>
  <si>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</si>
  <si>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</si>
  <si>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</si>
  <si>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</si>
  <si>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</si>
  <si>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</si>
  <si>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</si>
  <si>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</si>
  <si>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</si>
  <si>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</si>
  <si>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</si>
  <si>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</si>
  <si>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</si>
  <si>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</si>
  <si>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</si>
  <si>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</si>
  <si>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</si>
  <si>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</si>
  <si>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</si>
  <si>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</si>
  <si>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</si>
  <si>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</si>
  <si>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</si>
  <si>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</si>
  <si>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</si>
  <si>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</si>
  <si>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</si>
  <si>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</si>
  <si>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</si>
  <si>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</si>
  <si>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</si>
  <si>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</si>
  <si>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</si>
  <si>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</si>
  <si>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</si>
  <si>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</si>
  <si>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</si>
  <si>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</si>
  <si>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</si>
  <si>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</si>
  <si>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</si>
  <si>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</si>
  <si>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</si>
  <si>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</si>
  <si>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</si>
  <si>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</si>
  <si>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</si>
  <si>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</si>
  <si>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</si>
  <si>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</si>
  <si>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</si>
  <si>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</si>
  <si>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</si>
  <si>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</si>
  <si>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</si>
  <si>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</si>
  <si>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</si>
  <si>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</si>
  <si>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</si>
  <si>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</si>
  <si>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</si>
  <si>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</si>
  <si>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</si>
  <si>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</si>
  <si>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</si>
  <si>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</si>
  <si>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</si>
  <si>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</si>
  <si>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</si>
  <si>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</si>
  <si>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</si>
  <si>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</si>
  <si>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</si>
  <si>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</si>
  <si>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</si>
  <si>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</si>
  <si>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</si>
  <si>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</si>
  <si>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</si>
  <si>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</si>
  <si>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</si>
  <si>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</si>
  <si>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</si>
  <si>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</si>
  <si>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</si>
  <si>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</si>
  <si>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</si>
  <si>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</si>
  <si>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</si>
  <si>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</si>
  <si>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</si>
  <si>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</si>
  <si>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</si>
  <si>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</si>
  <si>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</si>
  <si>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</si>
  <si>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</si>
  <si>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</si>
  <si>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</si>
  <si>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</si>
  <si>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</si>
  <si>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</si>
  <si>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</si>
  <si>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</si>
  <si>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</si>
  <si>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</si>
  <si>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</si>
  <si>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</si>
  <si>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</si>
  <si>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</si>
  <si>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</si>
  <si>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</si>
  <si>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</si>
  <si>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</si>
  <si>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</si>
  <si>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</si>
  <si>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</si>
  <si>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</si>
  <si>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</si>
  <si>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</si>
  <si>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</si>
  <si>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</si>
  <si>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</si>
  <si>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</si>
  <si>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</si>
  <si>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</si>
  <si>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</si>
  <si>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</si>
  <si>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</si>
  <si>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</si>
  <si>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</si>
  <si>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</si>
  <si>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</si>
  <si>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</si>
  <si>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</si>
  <si>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</si>
  <si>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</si>
  <si>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</si>
  <si>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</si>
  <si>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</si>
  <si>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</si>
  <si>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</si>
  <si>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</si>
  <si>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</si>
  <si>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</si>
  <si>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</si>
  <si>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</si>
  <si>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</si>
  <si>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</si>
  <si>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</si>
  <si>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</si>
  <si>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</si>
  <si>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</si>
  <si>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</si>
  <si>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</si>
  <si>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</si>
  <si>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</si>
  <si>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</si>
  <si>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</si>
  <si>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</si>
  <si>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</si>
  <si>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</si>
  <si>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</si>
  <si>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</si>
  <si>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</si>
  <si>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</si>
  <si>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</si>
  <si>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</si>
  <si>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</si>
  <si>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</si>
  <si>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</si>
  <si>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</si>
  <si>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</si>
  <si>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</si>
  <si>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</si>
  <si>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</si>
  <si>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</si>
  <si>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</si>
  <si>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</si>
  <si>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</si>
  <si>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</si>
  <si>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</si>
  <si>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</si>
  <si>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</si>
  <si>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</si>
  <si>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</si>
  <si>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</si>
  <si>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</si>
  <si>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</si>
  <si>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</si>
  <si>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</si>
  <si>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</si>
  <si>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</si>
  <si>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</si>
  <si>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</si>
  <si>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</si>
  <si>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</si>
  <si>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</si>
  <si>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</si>
  <si>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</si>
  <si>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</si>
  <si>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</si>
  <si>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</si>
  <si>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</si>
  <si>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</si>
  <si>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</si>
  <si>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</si>
  <si>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</si>
  <si>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</si>
  <si>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</si>
  <si>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</si>
  <si>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</si>
  <si>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</si>
  <si>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</si>
  <si>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</si>
  <si>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</si>
  <si>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</si>
  <si>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</si>
  <si>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</si>
  <si>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EP 330 - Claim Folder Review</t>
  </si>
  <si>
    <t>EP 680 - Tracking of various special programs and reviews - excludes EP 689*</t>
  </si>
  <si>
    <t>EP 293 - COWC decisions prepared by an employee of the VSC</t>
  </si>
  <si>
    <t>EP 295 - VR&amp;E non-rating based eligibility determination</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</si>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</sst>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51">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49" fontId="14" fillId="38" borderId="8"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22" fillId="41" borderId="28"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7" fillId="0" borderId="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7">
    <dxf>
      <numFmt numFmtId="27"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4"/>
      <queryTableField id="2" name="CNT" tableColumnId="5"/>
      <queryTableField id="3" name="CNT_BL" tableColumnId="6"/>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M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4"/>
      <queryTableField id="2" name="INVENTORY" tableColumnId="5"/>
      <queryTableField id="3" name="ADP" tableColumnId="6"/>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9"/>
      <queryTableField id="2" name="GEOGRAPHY_DIM_SID" tableColumnId="20"/>
      <queryTableField id="3" name="ID_RO" tableColumnId="21"/>
      <queryTableField id="4" name="DEF_RO" tableColumnId="22"/>
      <queryTableField id="5" name="ID_SPM" tableColumnId="23"/>
      <queryTableField id="6" name="DEF_SPM" tableColumnId="24"/>
      <queryTableField id="7" name="ID_AREA" tableColumnId="25"/>
      <queryTableField id="8" name="DEF_AREA" tableColumnId="26"/>
      <queryTableField id="9" name="AREA_NBR" tableColumnId="27"/>
      <queryTableField id="10" name="ID_DIST" tableColumnId="28"/>
      <queryTableField id="11" name="DEF_DIST" tableColumnId="29"/>
      <queryTableField id="12" name="LCTN_ID" tableColumnId="30"/>
      <queryTableField id="13" name="ID_STATE" tableColumnId="31"/>
      <queryTableField id="14" name="DEF_STATE" tableColumnId="32"/>
      <queryTableField id="15" name="KEY_RO" tableColumnId="33"/>
      <queryTableField id="16" name="KEY_SPM" tableColumnId="34"/>
      <queryTableField id="17" name="KEY_HL" tableColumnId="35"/>
      <queryTableField id="18" name="TYP_SPM" tableColumnId="36"/>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6"/>
      <queryTableField id="2" name="STATE" tableColumnId="7"/>
      <queryTableField id="3" name="STATE_OTHER" tableColumnId="8"/>
      <queryTableField id="4" name="AREA" tableColumnId="9"/>
      <queryTableField id="5" name="STATE_DIST" tableColumnId="1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4" uniqueName="4" name="MMWR_TRAD_AGG_NATIONAL" queryTableFieldId="1"/>
    <tableColumn id="5" uniqueName="5" name="CNT" queryTableFieldId="2"/>
    <tableColumn id="6" uniqueName="6"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1" uniqueName="11" name="MMWR_RATING_STATE_ROLLUP_VS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1" uniqueName="11" name="MMWR_RATING_STATE_ROLLUP_PM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1" uniqueName="11" name="MMWR_RATING_STATE_ROLLUP_QST"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1" uniqueName="11" name="MMWR_RATING_STATE_ROLLUP_BDD"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6" uniqueName="16" name="MMWR_ACCURACY_RO" queryTableFieldId="1"/>
    <tableColumn id="17" uniqueName="17" name="DEF_DIST" queryTableFieldId="2"/>
    <tableColumn id="18" uniqueName="18" name="RELEASE_DATE" queryTableFieldId="3" dataDxfId="15"/>
    <tableColumn id="19" uniqueName="19" name="RO" queryTableFieldId="4"/>
    <tableColumn id="20" uniqueName="20" name="COMP3_ISSUES_WGHTED_ACC" queryTableFieldId="5" dataDxfId="14"/>
    <tableColumn id="21" uniqueName="21" name="COMP3_RTNG_CLM_WGHTED_ACC" queryTableFieldId="6" dataDxfId="13"/>
    <tableColumn id="22" uniqueName="22" name="COMP12_RTNG_CLM_WGHTED_ACC" queryTableFieldId="7" dataDxfId="12"/>
    <tableColumn id="23" uniqueName="23" name="COMP12_RTNG_CLM_MOE" queryTableFieldId="8" dataDxfId="11"/>
    <tableColumn id="24" uniqueName="24" name="COMP12_AUTH_CLM_WGHTED_ACC" queryTableFieldId="9" dataDxfId="10"/>
    <tableColumn id="25" uniqueName="25" name="COMP12_AUTH_CLM_MOE" queryTableFieldId="10" dataDxfId="9"/>
    <tableColumn id="26" uniqueName="26" name="PMC3_RTNG_CLM_WGHTED_ACC" queryTableFieldId="11" dataDxfId="8"/>
    <tableColumn id="27" uniqueName="27" name="PMC12_RTNG_CLM_WGHTED_ACC" queryTableFieldId="12" dataDxfId="7"/>
    <tableColumn id="28" uniqueName="28" name="PMC12_RTNG_CLM_MOE" queryTableFieldId="13" dataDxfId="6"/>
    <tableColumn id="29" uniqueName="29" name="PMC12_AUTH_CLM_WGHTED_ACC" queryTableFieldId="14" dataDxfId="5"/>
    <tableColumn id="30" uniqueName="30"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5" uniqueName="15" name="MMWR_APP_STATE_COMP"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5" uniqueName="15" name="MMWR_APP_STATE_PEN"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4" uniqueName="4" name="TITLE" queryTableFieldId="1"/>
    <tableColumn id="5" uniqueName="5" name="INVENTORY" queryTableFieldId="2"/>
    <tableColumn id="6" uniqueName="6"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9" uniqueName="19" name="ID_ORD" queryTableFieldId="1"/>
    <tableColumn id="20" uniqueName="20" name="GEOGRAPHY_DIM_SID" queryTableFieldId="2"/>
    <tableColumn id="21" uniqueName="21" name="ID_RO" queryTableFieldId="3"/>
    <tableColumn id="22" uniqueName="22" name="DEF_RO" queryTableFieldId="4"/>
    <tableColumn id="23" uniqueName="23" name="ID_SPM" queryTableFieldId="5"/>
    <tableColumn id="24" uniqueName="24" name="DEF_SPM" queryTableFieldId="6"/>
    <tableColumn id="25" uniqueName="25" name="ID_AREA" queryTableFieldId="7"/>
    <tableColumn id="26" uniqueName="26" name="DEF_AREA" queryTableFieldId="8"/>
    <tableColumn id="27" uniqueName="27" name="AREA_NBR" queryTableFieldId="9"/>
    <tableColumn id="28" uniqueName="28" name="ID_DIST" queryTableFieldId="10"/>
    <tableColumn id="29" uniqueName="29" name="DEF_DIST" queryTableFieldId="11"/>
    <tableColumn id="30" uniqueName="30" name="LCTN_ID" queryTableFieldId="12"/>
    <tableColumn id="31" uniqueName="31" name="ID_STATE" queryTableFieldId="13"/>
    <tableColumn id="32" uniqueName="32" name="DEF_STATE" queryTableFieldId="14"/>
    <tableColumn id="33" uniqueName="33" name="KEY_RO" queryTableFieldId="15"/>
    <tableColumn id="34" uniqueName="34" name="KEY_SPM" queryTableFieldId="16"/>
    <tableColumn id="35" uniqueName="35" name="KEY_HL" queryTableFieldId="17"/>
    <tableColumn id="36" uniqueName="36"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4" uniqueName="14" name="MMWR_TRAD_AGG_RO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6" uniqueName="6" name="ST" queryTableFieldId="1"/>
    <tableColumn id="7" uniqueName="7" name="STATE" queryTableFieldId="2"/>
    <tableColumn id="8" uniqueName="8" name="STATE_OTHER" queryTableFieldId="3"/>
    <tableColumn id="9" uniqueName="9" name="AREA" queryTableFieldId="4"/>
    <tableColumn id="10" uniqueName="1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4" uniqueName="14" name="MMWR_TRAD_AGG_RO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4" uniqueName="14" name="MMWR_TRAD_AGG_STATE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4" uniqueName="14" name="MMWR_TRAD_AGG_STATE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4" uniqueName="14" name="MMWR_TRAD_AGG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4" uniqueName="14" name="MMWR_TRAD_AGG_ST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4" uniqueName="14" name="MMWR_TRAD_AGG_ST_DISTRICT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90" t="s">
        <v>302</v>
      </c>
      <c r="B1" s="291"/>
      <c r="C1" s="291"/>
      <c r="D1" s="291"/>
      <c r="E1" s="291"/>
      <c r="F1" s="291"/>
      <c r="G1" s="291"/>
      <c r="H1" s="291"/>
      <c r="I1" s="291"/>
      <c r="J1" s="291"/>
      <c r="K1" s="291"/>
      <c r="L1" s="291"/>
      <c r="M1" s="291"/>
      <c r="N1" s="291"/>
      <c r="O1" s="291"/>
      <c r="P1" s="292"/>
    </row>
    <row r="2" spans="1:16" ht="29.25" customHeight="1" x14ac:dyDescent="0.2">
      <c r="A2" s="284" t="s">
        <v>304</v>
      </c>
      <c r="B2" s="285"/>
      <c r="C2" s="285"/>
      <c r="D2" s="285"/>
      <c r="E2" s="285"/>
      <c r="F2" s="285"/>
      <c r="G2" s="285"/>
      <c r="H2" s="285"/>
      <c r="I2" s="285"/>
      <c r="J2" s="285"/>
      <c r="K2" s="285"/>
      <c r="L2" s="285"/>
      <c r="M2" s="285"/>
      <c r="N2" s="286"/>
      <c r="O2" s="293"/>
      <c r="P2" s="294"/>
    </row>
    <row r="3" spans="1:16" x14ac:dyDescent="0.2">
      <c r="A3" s="284"/>
      <c r="B3" s="285"/>
      <c r="C3" s="285"/>
      <c r="D3" s="285"/>
      <c r="E3" s="285"/>
      <c r="F3" s="285"/>
      <c r="G3" s="285"/>
      <c r="H3" s="285"/>
      <c r="I3" s="285"/>
      <c r="J3" s="285"/>
      <c r="K3" s="285"/>
      <c r="L3" s="285"/>
      <c r="M3" s="285"/>
      <c r="N3" s="286"/>
      <c r="O3" s="295"/>
      <c r="P3" s="296"/>
    </row>
    <row r="4" spans="1:16" x14ac:dyDescent="0.2">
      <c r="A4" s="284"/>
      <c r="B4" s="285"/>
      <c r="C4" s="285"/>
      <c r="D4" s="285"/>
      <c r="E4" s="285"/>
      <c r="F4" s="285"/>
      <c r="G4" s="285"/>
      <c r="H4" s="285"/>
      <c r="I4" s="285"/>
      <c r="J4" s="285"/>
      <c r="K4" s="285"/>
      <c r="L4" s="285"/>
      <c r="M4" s="285"/>
      <c r="N4" s="286"/>
      <c r="O4" s="295"/>
      <c r="P4" s="296"/>
    </row>
    <row r="5" spans="1:16" x14ac:dyDescent="0.2">
      <c r="A5" s="284"/>
      <c r="B5" s="285"/>
      <c r="C5" s="285"/>
      <c r="D5" s="285"/>
      <c r="E5" s="285"/>
      <c r="F5" s="285"/>
      <c r="G5" s="285"/>
      <c r="H5" s="285"/>
      <c r="I5" s="285"/>
      <c r="J5" s="285"/>
      <c r="K5" s="285"/>
      <c r="L5" s="285"/>
      <c r="M5" s="285"/>
      <c r="N5" s="286"/>
      <c r="O5" s="295"/>
      <c r="P5" s="296"/>
    </row>
    <row r="6" spans="1:16" x14ac:dyDescent="0.2">
      <c r="A6" s="284"/>
      <c r="B6" s="285"/>
      <c r="C6" s="285"/>
      <c r="D6" s="285"/>
      <c r="E6" s="285"/>
      <c r="F6" s="285"/>
      <c r="G6" s="285"/>
      <c r="H6" s="285"/>
      <c r="I6" s="285"/>
      <c r="J6" s="285"/>
      <c r="K6" s="285"/>
      <c r="L6" s="285"/>
      <c r="M6" s="285"/>
      <c r="N6" s="286"/>
      <c r="O6" s="295"/>
      <c r="P6" s="296"/>
    </row>
    <row r="7" spans="1:16" ht="18" customHeight="1" thickBot="1" x14ac:dyDescent="0.25">
      <c r="A7" s="287"/>
      <c r="B7" s="288"/>
      <c r="C7" s="288"/>
      <c r="D7" s="288"/>
      <c r="E7" s="288"/>
      <c r="F7" s="288"/>
      <c r="G7" s="288"/>
      <c r="H7" s="288"/>
      <c r="I7" s="288"/>
      <c r="J7" s="288"/>
      <c r="K7" s="288"/>
      <c r="L7" s="288"/>
      <c r="M7" s="288"/>
      <c r="N7" s="289"/>
      <c r="O7" s="297"/>
      <c r="P7" s="298"/>
    </row>
    <row r="8" spans="1:16" ht="18.75" thickBot="1" x14ac:dyDescent="0.25">
      <c r="A8" s="281" t="s">
        <v>300</v>
      </c>
      <c r="B8" s="282"/>
      <c r="C8" s="282"/>
      <c r="D8" s="282"/>
      <c r="E8" s="282"/>
      <c r="F8" s="282"/>
      <c r="G8" s="283"/>
      <c r="H8" s="281" t="s">
        <v>301</v>
      </c>
      <c r="I8" s="282"/>
      <c r="J8" s="282"/>
      <c r="K8" s="282"/>
      <c r="L8" s="282"/>
      <c r="M8" s="282"/>
      <c r="N8" s="282"/>
      <c r="O8" s="282"/>
      <c r="P8" s="283"/>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502</v>
      </c>
      <c r="D2" t="s">
        <v>918</v>
      </c>
      <c r="E2" t="s">
        <v>919</v>
      </c>
      <c r="F2" t="s">
        <v>920</v>
      </c>
      <c r="G2" t="s">
        <v>921</v>
      </c>
      <c r="H2" t="s">
        <v>923</v>
      </c>
      <c r="I2" t="s">
        <v>1043</v>
      </c>
      <c r="J2" t="s">
        <v>924</v>
      </c>
      <c r="K2" t="s">
        <v>925</v>
      </c>
      <c r="L2" t="s">
        <v>922</v>
      </c>
      <c r="M2" t="s">
        <v>927</v>
      </c>
      <c r="N2" t="s">
        <v>928</v>
      </c>
      <c r="O2" t="s">
        <v>929</v>
      </c>
      <c r="P2" t="s">
        <v>930</v>
      </c>
    </row>
    <row r="3" spans="2:16" x14ac:dyDescent="0.2">
      <c r="B3" t="s">
        <v>586</v>
      </c>
      <c r="C3" t="s">
        <v>404</v>
      </c>
      <c r="D3" s="18">
        <v>42341.621261574073</v>
      </c>
      <c r="E3" t="s">
        <v>166</v>
      </c>
      <c r="F3" s="19">
        <v>0.96727389651483064</v>
      </c>
      <c r="G3" s="19">
        <v>0.91449676823638049</v>
      </c>
      <c r="H3" s="19">
        <v>0.90926586461922898</v>
      </c>
      <c r="I3" s="19">
        <v>4.6145982587194039E-2</v>
      </c>
      <c r="J3" s="19">
        <v>0.91694425085075304</v>
      </c>
      <c r="K3" s="19">
        <v>4.6078283813111583E-2</v>
      </c>
      <c r="L3" s="19"/>
      <c r="M3" s="19"/>
      <c r="N3" s="19"/>
      <c r="O3" s="19"/>
      <c r="P3" s="19"/>
    </row>
    <row r="4" spans="2:16" x14ac:dyDescent="0.2">
      <c r="B4" t="s">
        <v>645</v>
      </c>
      <c r="C4" t="s">
        <v>404</v>
      </c>
      <c r="D4" s="18">
        <v>42341.621261574073</v>
      </c>
      <c r="E4" t="s">
        <v>191</v>
      </c>
      <c r="F4" s="19">
        <v>0.91310517328459062</v>
      </c>
      <c r="G4" s="19">
        <v>0.96180648619673004</v>
      </c>
      <c r="H4" s="19">
        <v>0.88228455712222498</v>
      </c>
      <c r="I4" s="19">
        <v>4.5097952605306017E-2</v>
      </c>
      <c r="J4" s="19">
        <v>0.93977887550630157</v>
      </c>
      <c r="K4" s="19">
        <v>4.2731754147026069E-2</v>
      </c>
      <c r="L4" s="19"/>
      <c r="M4" s="19"/>
      <c r="N4" s="19"/>
      <c r="O4" s="19"/>
      <c r="P4" s="19"/>
    </row>
    <row r="5" spans="2:16" x14ac:dyDescent="0.2">
      <c r="B5" t="s">
        <v>539</v>
      </c>
      <c r="C5" t="s">
        <v>380</v>
      </c>
      <c r="D5" s="18">
        <v>42341.621261574073</v>
      </c>
      <c r="E5" t="s">
        <v>148</v>
      </c>
      <c r="F5" s="19">
        <v>0.96260119423551715</v>
      </c>
      <c r="G5" s="19">
        <v>0.90817754207363377</v>
      </c>
      <c r="H5" s="19">
        <v>0.89893154864193836</v>
      </c>
      <c r="I5" s="19">
        <v>4.4668502819154202E-2</v>
      </c>
      <c r="J5" s="19">
        <v>0.85126584565164432</v>
      </c>
      <c r="K5" s="19">
        <v>5.1431881884430125E-2</v>
      </c>
      <c r="L5" s="19"/>
      <c r="M5" s="19"/>
      <c r="N5" s="19"/>
      <c r="O5" s="19"/>
      <c r="P5" s="19"/>
    </row>
    <row r="6" spans="2:16" x14ac:dyDescent="0.2">
      <c r="B6" t="s">
        <v>533</v>
      </c>
      <c r="C6" t="s">
        <v>369</v>
      </c>
      <c r="D6" s="18">
        <v>42341.621261574073</v>
      </c>
      <c r="E6" t="s">
        <v>146</v>
      </c>
      <c r="F6" s="19">
        <v>0.95020192985309282</v>
      </c>
      <c r="G6" s="19">
        <v>0.8032912069031346</v>
      </c>
      <c r="H6" s="19">
        <v>0.83704533653377067</v>
      </c>
      <c r="I6" s="19">
        <v>4.6605980709748994E-2</v>
      </c>
      <c r="J6" s="19">
        <v>0.86662322020532823</v>
      </c>
      <c r="K6" s="19">
        <v>4.9817097387363916E-2</v>
      </c>
      <c r="L6" s="19"/>
      <c r="M6" s="19"/>
      <c r="N6" s="19"/>
      <c r="O6" s="19"/>
      <c r="P6" s="19"/>
    </row>
    <row r="7" spans="2:16" x14ac:dyDescent="0.2">
      <c r="B7" t="s">
        <v>601</v>
      </c>
      <c r="C7" t="s">
        <v>404</v>
      </c>
      <c r="D7" s="18">
        <v>42341.621261574073</v>
      </c>
      <c r="E7" t="s">
        <v>172</v>
      </c>
      <c r="F7" s="19">
        <v>0.98372715242503561</v>
      </c>
      <c r="G7" s="19">
        <v>0.96208582292232481</v>
      </c>
      <c r="H7" s="19">
        <v>0.94031089247695743</v>
      </c>
      <c r="I7" s="19">
        <v>4.3216466165508012E-2</v>
      </c>
      <c r="J7" s="19">
        <v>0.96651936808937056</v>
      </c>
      <c r="K7" s="19">
        <v>2.7548582625716519E-2</v>
      </c>
      <c r="L7" s="19"/>
      <c r="M7" s="19"/>
      <c r="N7" s="19"/>
      <c r="O7" s="19"/>
      <c r="P7" s="19"/>
    </row>
    <row r="8" spans="2:16" x14ac:dyDescent="0.2">
      <c r="B8" t="s">
        <v>512</v>
      </c>
      <c r="C8" t="s">
        <v>369</v>
      </c>
      <c r="D8" s="18">
        <v>42341.621261574073</v>
      </c>
      <c r="E8" t="s">
        <v>139</v>
      </c>
      <c r="F8" s="19">
        <v>0.91706819540674567</v>
      </c>
      <c r="G8" s="19">
        <v>0.83029133029133018</v>
      </c>
      <c r="H8" s="19">
        <v>0.82793141316827235</v>
      </c>
      <c r="I8" s="19">
        <v>5.8542969046113245E-2</v>
      </c>
      <c r="J8" s="19">
        <v>0.91525336038029659</v>
      </c>
      <c r="K8" s="19">
        <v>5.5956485067688175E-2</v>
      </c>
      <c r="L8" s="19"/>
      <c r="M8" s="19"/>
      <c r="N8" s="19"/>
      <c r="O8" s="19"/>
      <c r="P8" s="19"/>
    </row>
    <row r="9" spans="2:16" x14ac:dyDescent="0.2">
      <c r="B9" t="s">
        <v>520</v>
      </c>
      <c r="C9" t="s">
        <v>369</v>
      </c>
      <c r="D9" s="18">
        <v>42341.621261574073</v>
      </c>
      <c r="E9" t="s">
        <v>142</v>
      </c>
      <c r="F9" s="19">
        <v>0.97656463248196534</v>
      </c>
      <c r="G9" s="19">
        <v>0.92374234960441859</v>
      </c>
      <c r="H9" s="19">
        <v>0.88581863935522454</v>
      </c>
      <c r="I9" s="19">
        <v>4.9569999406535815E-2</v>
      </c>
      <c r="J9" s="19">
        <v>0.87522193823655736</v>
      </c>
      <c r="K9" s="19">
        <v>4.7629350570120937E-2</v>
      </c>
      <c r="L9" s="19"/>
      <c r="M9" s="19"/>
      <c r="N9" s="19"/>
      <c r="O9" s="19"/>
      <c r="P9" s="19"/>
    </row>
    <row r="10" spans="2:16" x14ac:dyDescent="0.2">
      <c r="B10" t="s">
        <v>637</v>
      </c>
      <c r="C10" t="s">
        <v>385</v>
      </c>
      <c r="D10" s="18">
        <v>42341.621261574073</v>
      </c>
      <c r="E10" t="s">
        <v>673</v>
      </c>
      <c r="F10" s="19">
        <v>0.98099912563648517</v>
      </c>
      <c r="G10" s="19">
        <v>0.90357941834451894</v>
      </c>
      <c r="H10" s="19">
        <v>0.87341347517308554</v>
      </c>
      <c r="I10" s="19">
        <v>5.4188023038027493E-2</v>
      </c>
      <c r="J10" s="19">
        <v>0.88843479898393185</v>
      </c>
      <c r="K10" s="19">
        <v>5.6335779165297452E-2</v>
      </c>
      <c r="L10" s="19"/>
      <c r="M10" s="19"/>
      <c r="N10" s="19"/>
      <c r="O10" s="19"/>
      <c r="P10" s="19"/>
    </row>
    <row r="11" spans="2:16" x14ac:dyDescent="0.2">
      <c r="B11" t="s">
        <v>567</v>
      </c>
      <c r="C11" t="s">
        <v>390</v>
      </c>
      <c r="D11" s="18">
        <v>42341.621261574073</v>
      </c>
      <c r="E11" t="s">
        <v>158</v>
      </c>
      <c r="F11" s="19">
        <v>0.92083536242216379</v>
      </c>
      <c r="G11" s="19">
        <v>0.89256339309403776</v>
      </c>
      <c r="H11" s="19">
        <v>0.87215345710898828</v>
      </c>
      <c r="I11" s="19">
        <v>4.6825572445654086E-2</v>
      </c>
      <c r="J11" s="19">
        <v>0.86025857153224872</v>
      </c>
      <c r="K11" s="19">
        <v>5.0643152942156246E-2</v>
      </c>
      <c r="L11" s="253"/>
      <c r="M11" s="253"/>
      <c r="N11" s="253"/>
      <c r="O11" s="253"/>
      <c r="P11" s="253"/>
    </row>
    <row r="12" spans="2:16" x14ac:dyDescent="0.2">
      <c r="B12" t="s">
        <v>559</v>
      </c>
      <c r="C12" t="s">
        <v>390</v>
      </c>
      <c r="D12" s="18">
        <v>42341.621261574073</v>
      </c>
      <c r="E12" t="s">
        <v>155</v>
      </c>
      <c r="F12" s="19">
        <v>0.97646774206594622</v>
      </c>
      <c r="G12" s="19">
        <v>0.90227309372343245</v>
      </c>
      <c r="H12" s="19">
        <v>0.92990711594197739</v>
      </c>
      <c r="I12" s="19">
        <v>3.9587037021971486E-2</v>
      </c>
      <c r="J12" s="19">
        <v>0.87180172557354396</v>
      </c>
      <c r="K12" s="19">
        <v>6.0100135983290247E-2</v>
      </c>
      <c r="L12" s="19"/>
      <c r="M12" s="19"/>
      <c r="N12" s="19"/>
      <c r="O12" s="19"/>
      <c r="P12" s="19"/>
    </row>
    <row r="13" spans="2:16" x14ac:dyDescent="0.2">
      <c r="B13" t="s">
        <v>547</v>
      </c>
      <c r="C13" t="s">
        <v>380</v>
      </c>
      <c r="D13" s="18">
        <v>42341.621261574073</v>
      </c>
      <c r="E13" t="s">
        <v>151</v>
      </c>
      <c r="F13" s="19">
        <v>0.98524246991153308</v>
      </c>
      <c r="G13" s="19">
        <v>0.95756659374597863</v>
      </c>
      <c r="H13" s="19">
        <v>0.93849101986780581</v>
      </c>
      <c r="I13" s="19">
        <v>4.7384697890509531E-2</v>
      </c>
      <c r="J13" s="19">
        <v>0.92107141005092885</v>
      </c>
      <c r="K13" s="19">
        <v>5.2456606787567639E-2</v>
      </c>
      <c r="L13" s="19"/>
      <c r="M13" s="19"/>
      <c r="N13" s="19"/>
      <c r="O13" s="19"/>
      <c r="P13" s="19"/>
    </row>
    <row r="14" spans="2:16" x14ac:dyDescent="0.2">
      <c r="B14" t="s">
        <v>385</v>
      </c>
      <c r="C14" t="s">
        <v>385</v>
      </c>
      <c r="D14" s="18">
        <v>42341.621261574073</v>
      </c>
      <c r="E14" t="s">
        <v>664</v>
      </c>
      <c r="F14" s="19">
        <v>0.96698746128003521</v>
      </c>
      <c r="G14" s="19">
        <v>0.89862214160854759</v>
      </c>
      <c r="H14" s="19">
        <v>0.90657286935558179</v>
      </c>
      <c r="I14" s="19">
        <v>1.6897493879863036E-2</v>
      </c>
      <c r="J14" s="19">
        <v>0.93697006463492272</v>
      </c>
      <c r="K14" s="19">
        <v>1.5021123286070264E-2</v>
      </c>
      <c r="L14" s="19"/>
      <c r="M14" s="19"/>
      <c r="N14" s="19"/>
      <c r="O14" s="19"/>
      <c r="P14" s="19"/>
    </row>
    <row r="15" spans="2:16" x14ac:dyDescent="0.2">
      <c r="B15" t="s">
        <v>584</v>
      </c>
      <c r="C15" t="s">
        <v>385</v>
      </c>
      <c r="D15" s="18">
        <v>42341.621261574073</v>
      </c>
      <c r="E15" t="s">
        <v>165</v>
      </c>
      <c r="F15" s="19">
        <v>0.97118953439930578</v>
      </c>
      <c r="G15" s="19">
        <v>0.8738451886800559</v>
      </c>
      <c r="H15" s="19">
        <v>0.92607408691112714</v>
      </c>
      <c r="I15" s="19">
        <v>4.1775122944902779E-2</v>
      </c>
      <c r="J15" s="19">
        <v>0.91942421728307455</v>
      </c>
      <c r="K15" s="19">
        <v>4.3675473026956409E-2</v>
      </c>
      <c r="L15" s="19"/>
      <c r="M15" s="19"/>
      <c r="N15" s="19"/>
      <c r="O15" s="19"/>
      <c r="P15" s="19"/>
    </row>
    <row r="16" spans="2:16" x14ac:dyDescent="0.2">
      <c r="B16" t="s">
        <v>576</v>
      </c>
      <c r="C16" t="s">
        <v>390</v>
      </c>
      <c r="D16" s="18">
        <v>42341.621261574073</v>
      </c>
      <c r="E16" t="s">
        <v>162</v>
      </c>
      <c r="F16" s="19">
        <v>0.97354048526540859</v>
      </c>
      <c r="G16" s="19">
        <v>0.94822934232715017</v>
      </c>
      <c r="H16" s="19">
        <v>0.97715611052279394</v>
      </c>
      <c r="I16" s="19">
        <v>2.1313100023152245E-2</v>
      </c>
      <c r="J16" s="19">
        <v>0.9741930261066668</v>
      </c>
      <c r="K16" s="19">
        <v>2.2748581534967373E-2</v>
      </c>
      <c r="L16" s="253"/>
      <c r="M16" s="253"/>
      <c r="N16" s="253"/>
      <c r="O16" s="253"/>
      <c r="P16" s="253"/>
    </row>
    <row r="17" spans="2:16" x14ac:dyDescent="0.2">
      <c r="B17" t="s">
        <v>569</v>
      </c>
      <c r="C17" t="s">
        <v>390</v>
      </c>
      <c r="D17" s="18">
        <v>42341.621261574073</v>
      </c>
      <c r="E17" t="s">
        <v>159</v>
      </c>
      <c r="F17" s="19">
        <v>0.93739933747575988</v>
      </c>
      <c r="G17" s="19">
        <v>0.93272556121718142</v>
      </c>
      <c r="H17" s="19">
        <v>0.88932179289463631</v>
      </c>
      <c r="I17" s="19">
        <v>4.5930896554215436E-2</v>
      </c>
      <c r="J17" s="19">
        <v>0.90480435541563575</v>
      </c>
      <c r="K17" s="19">
        <v>4.8076736238614616E-2</v>
      </c>
      <c r="L17" s="19"/>
      <c r="M17" s="19"/>
      <c r="N17" s="19"/>
      <c r="O17" s="19"/>
      <c r="P17" s="19"/>
    </row>
    <row r="18" spans="2:16" x14ac:dyDescent="0.2">
      <c r="B18" t="s">
        <v>633</v>
      </c>
      <c r="C18" t="s">
        <v>390</v>
      </c>
      <c r="D18" s="18">
        <v>42341.621261574073</v>
      </c>
      <c r="E18" t="s">
        <v>186</v>
      </c>
      <c r="F18" s="19">
        <v>0.95281082219180968</v>
      </c>
      <c r="G18" s="19">
        <v>0.84969823584029713</v>
      </c>
      <c r="H18" s="19">
        <v>0.93174723772488588</v>
      </c>
      <c r="I18" s="19">
        <v>4.1675579626240238E-2</v>
      </c>
      <c r="J18" s="19">
        <v>0.96377932533457833</v>
      </c>
      <c r="K18" s="19">
        <v>3.1299983404975439E-2</v>
      </c>
      <c r="L18" s="19"/>
      <c r="M18" s="19"/>
      <c r="N18" s="19"/>
      <c r="O18" s="19"/>
      <c r="P18" s="19"/>
    </row>
    <row r="19" spans="2:16" x14ac:dyDescent="0.2">
      <c r="B19" t="s">
        <v>631</v>
      </c>
      <c r="C19" t="s">
        <v>385</v>
      </c>
      <c r="D19" s="18">
        <v>42341.621261574073</v>
      </c>
      <c r="E19" t="s">
        <v>185</v>
      </c>
      <c r="F19" s="19">
        <v>0.97932456531431133</v>
      </c>
      <c r="G19" s="19">
        <v>0.93172014729089947</v>
      </c>
      <c r="H19" s="19">
        <v>0.93962723314955776</v>
      </c>
      <c r="I19" s="19">
        <v>4.1484510665432808E-2</v>
      </c>
      <c r="J19" s="19">
        <v>0.94806752995432253</v>
      </c>
      <c r="K19" s="19">
        <v>3.3314937800349116E-2</v>
      </c>
      <c r="L19" s="19"/>
      <c r="M19" s="19"/>
      <c r="N19" s="19"/>
      <c r="O19" s="19"/>
      <c r="P19" s="19"/>
    </row>
    <row r="20" spans="2:16" x14ac:dyDescent="0.2">
      <c r="B20" t="s">
        <v>522</v>
      </c>
      <c r="C20" t="s">
        <v>369</v>
      </c>
      <c r="D20" s="18">
        <v>42341.621261574073</v>
      </c>
      <c r="E20" t="s">
        <v>143</v>
      </c>
      <c r="F20" s="19">
        <v>0.97054664400291391</v>
      </c>
      <c r="G20" s="19">
        <v>0.90484696915565077</v>
      </c>
      <c r="H20" s="19">
        <v>0.91229359862054049</v>
      </c>
      <c r="I20" s="19">
        <v>4.4833904578174925E-2</v>
      </c>
      <c r="J20" s="19">
        <v>0.96706286742266068</v>
      </c>
      <c r="K20" s="19">
        <v>3.3241064958263136E-2</v>
      </c>
      <c r="L20" s="19"/>
      <c r="M20" s="19"/>
      <c r="N20" s="19"/>
      <c r="O20" s="19"/>
      <c r="P20" s="19"/>
    </row>
    <row r="21" spans="2:16" x14ac:dyDescent="0.2">
      <c r="B21" t="s">
        <v>641</v>
      </c>
      <c r="C21" t="s">
        <v>404</v>
      </c>
      <c r="D21" s="18">
        <v>42341.621261574073</v>
      </c>
      <c r="E21" t="s">
        <v>189</v>
      </c>
      <c r="F21" s="19">
        <v>0.93583675473654038</v>
      </c>
      <c r="G21" s="19">
        <v>0.82773395656831239</v>
      </c>
      <c r="H21" s="19">
        <v>0.89124907201187842</v>
      </c>
      <c r="I21" s="19">
        <v>4.5166515469331259E-2</v>
      </c>
      <c r="J21" s="19">
        <v>0.95669069340638879</v>
      </c>
      <c r="K21" s="19">
        <v>3.3852756410987721E-2</v>
      </c>
      <c r="L21" s="19"/>
      <c r="M21" s="19"/>
      <c r="N21" s="19"/>
      <c r="O21" s="19"/>
      <c r="P21" s="19"/>
    </row>
    <row r="22" spans="2:16" x14ac:dyDescent="0.2">
      <c r="B22" t="s">
        <v>619</v>
      </c>
      <c r="C22" t="s">
        <v>385</v>
      </c>
      <c r="D22" s="18">
        <v>42341.621261574073</v>
      </c>
      <c r="E22" t="s">
        <v>180</v>
      </c>
      <c r="F22" s="19">
        <v>0.97220037883985289</v>
      </c>
      <c r="G22" s="19">
        <v>0.95418503386732612</v>
      </c>
      <c r="H22" s="19">
        <v>0.88844970317063909</v>
      </c>
      <c r="I22" s="19">
        <v>4.2108323717160799E-2</v>
      </c>
      <c r="J22" s="19">
        <v>0.92411966329199846</v>
      </c>
      <c r="K22" s="19">
        <v>4.0776848970982445E-2</v>
      </c>
      <c r="L22" s="19"/>
      <c r="M22" s="19"/>
      <c r="N22" s="19"/>
      <c r="O22" s="19"/>
      <c r="P22" s="19"/>
    </row>
    <row r="23" spans="2:16" x14ac:dyDescent="0.2">
      <c r="B23" t="s">
        <v>537</v>
      </c>
      <c r="C23" t="s">
        <v>369</v>
      </c>
      <c r="D23" s="18">
        <v>42341.621261574073</v>
      </c>
      <c r="E23" t="s">
        <v>147</v>
      </c>
      <c r="F23" s="19">
        <v>0.97282677228539993</v>
      </c>
      <c r="G23" s="19">
        <v>0.89002718974558159</v>
      </c>
      <c r="H23" s="19">
        <v>0.8966879945112981</v>
      </c>
      <c r="I23" s="19">
        <v>4.4971664608771104E-2</v>
      </c>
      <c r="J23" s="19">
        <v>0.90584974990550005</v>
      </c>
      <c r="K23" s="19">
        <v>4.8124312022041878E-2</v>
      </c>
      <c r="L23" s="19"/>
      <c r="M23" s="19"/>
      <c r="N23" s="19"/>
      <c r="O23" s="19"/>
      <c r="P23" s="19"/>
    </row>
    <row r="24" spans="2:16" x14ac:dyDescent="0.2">
      <c r="B24" t="s">
        <v>561</v>
      </c>
      <c r="C24" t="s">
        <v>390</v>
      </c>
      <c r="D24" s="18">
        <v>42341.621261574073</v>
      </c>
      <c r="E24" t="s">
        <v>156</v>
      </c>
      <c r="F24" s="19">
        <v>0.97274539918626879</v>
      </c>
      <c r="G24" s="19">
        <v>0.91151483841340919</v>
      </c>
      <c r="H24" s="19">
        <v>0.92559323732284904</v>
      </c>
      <c r="I24" s="19">
        <v>4.237343527799773E-2</v>
      </c>
      <c r="J24" s="19">
        <v>0.93456481918989875</v>
      </c>
      <c r="K24" s="19">
        <v>3.7661905037140925E-2</v>
      </c>
      <c r="L24" s="19"/>
      <c r="M24" s="19"/>
      <c r="N24" s="19"/>
      <c r="O24" s="19"/>
      <c r="P24" s="19"/>
    </row>
    <row r="25" spans="2:16" x14ac:dyDescent="0.2">
      <c r="B25" t="s">
        <v>555</v>
      </c>
      <c r="C25" t="s">
        <v>385</v>
      </c>
      <c r="D25" s="18">
        <v>42341.621261574073</v>
      </c>
      <c r="E25" t="s">
        <v>154</v>
      </c>
      <c r="F25" s="19">
        <v>0.97240238441327054</v>
      </c>
      <c r="G25" s="19">
        <v>0.90708963648679164</v>
      </c>
      <c r="H25" s="19">
        <v>0.90422448504209496</v>
      </c>
      <c r="I25" s="19">
        <v>4.0338744060947604E-2</v>
      </c>
      <c r="J25" s="19">
        <v>0.90327453383445955</v>
      </c>
      <c r="K25" s="19">
        <v>5.0433638561882078E-2</v>
      </c>
      <c r="L25" s="19"/>
      <c r="M25" s="19"/>
      <c r="N25" s="19"/>
      <c r="O25" s="19"/>
      <c r="P25" s="19"/>
    </row>
    <row r="26" spans="2:16" x14ac:dyDescent="0.2">
      <c r="B26" t="s">
        <v>578</v>
      </c>
      <c r="C26" t="s">
        <v>390</v>
      </c>
      <c r="D26" s="18">
        <v>42341.621261574073</v>
      </c>
      <c r="E26" t="s">
        <v>163</v>
      </c>
      <c r="F26" s="19">
        <v>0.98401556744735563</v>
      </c>
      <c r="G26" s="19">
        <v>0.92642716535433067</v>
      </c>
      <c r="H26" s="19">
        <v>0.96194782224187492</v>
      </c>
      <c r="I26" s="19">
        <v>3.4365901424945805E-2</v>
      </c>
      <c r="J26" s="19">
        <v>0.97465644109938854</v>
      </c>
      <c r="K26" s="19">
        <v>2.6720742387173785E-2</v>
      </c>
      <c r="L26" s="19"/>
      <c r="M26" s="19"/>
      <c r="N26" s="19"/>
      <c r="O26" s="19"/>
      <c r="P26" s="19"/>
    </row>
    <row r="27" spans="2:16" x14ac:dyDescent="0.2">
      <c r="B27" t="s">
        <v>607</v>
      </c>
      <c r="C27" t="s">
        <v>385</v>
      </c>
      <c r="D27" s="18">
        <v>42341.621261574073</v>
      </c>
      <c r="E27" t="s">
        <v>175</v>
      </c>
      <c r="F27" s="19">
        <v>0.9858230191654952</v>
      </c>
      <c r="G27" s="19">
        <v>0.93789892618457626</v>
      </c>
      <c r="H27" s="19">
        <v>0.90426767391073326</v>
      </c>
      <c r="I27" s="19">
        <v>4.9273886740432718E-2</v>
      </c>
      <c r="J27" s="19">
        <v>0.93419274619980475</v>
      </c>
      <c r="K27" s="19">
        <v>4.3094773278235222E-2</v>
      </c>
      <c r="L27" s="19"/>
      <c r="M27" s="19"/>
      <c r="N27" s="19"/>
      <c r="O27" s="19"/>
      <c r="P27" s="19"/>
    </row>
    <row r="28" spans="2:16" x14ac:dyDescent="0.2">
      <c r="B28" t="s">
        <v>593</v>
      </c>
      <c r="C28" t="s">
        <v>404</v>
      </c>
      <c r="D28" s="18">
        <v>42341.621261574073</v>
      </c>
      <c r="E28" t="s">
        <v>169</v>
      </c>
      <c r="F28" s="19">
        <v>0.97897465822683327</v>
      </c>
      <c r="G28" s="19">
        <v>0.95894795435569169</v>
      </c>
      <c r="H28" s="19">
        <v>0.89024766947293987</v>
      </c>
      <c r="I28" s="19">
        <v>4.4027778661129918E-2</v>
      </c>
      <c r="J28" s="19">
        <v>0.8884110423279562</v>
      </c>
      <c r="K28" s="19">
        <v>4.8184377302464297E-2</v>
      </c>
      <c r="L28" s="19"/>
      <c r="M28" s="19"/>
      <c r="N28" s="19"/>
      <c r="O28" s="19"/>
      <c r="P28" s="19"/>
    </row>
    <row r="29" spans="2:16" x14ac:dyDescent="0.2">
      <c r="B29" t="s">
        <v>563</v>
      </c>
      <c r="C29" t="s">
        <v>380</v>
      </c>
      <c r="D29" s="18">
        <v>42341.621261574073</v>
      </c>
      <c r="E29" t="s">
        <v>157</v>
      </c>
      <c r="F29" s="19">
        <v>0.98312349719225589</v>
      </c>
      <c r="G29" s="19">
        <v>0.95219803125824209</v>
      </c>
      <c r="H29" s="19">
        <v>0.91770290699512347</v>
      </c>
      <c r="I29" s="19">
        <v>4.4093669900638302E-2</v>
      </c>
      <c r="J29" s="19">
        <v>0.89313178642578916</v>
      </c>
      <c r="K29" s="19">
        <v>5.040841213678391E-2</v>
      </c>
      <c r="L29" s="19"/>
      <c r="M29" s="19"/>
      <c r="N29" s="19"/>
      <c r="O29" s="19"/>
      <c r="P29" s="19"/>
    </row>
    <row r="30" spans="2:16" x14ac:dyDescent="0.2">
      <c r="B30" t="s">
        <v>622</v>
      </c>
      <c r="C30" t="s">
        <v>369</v>
      </c>
      <c r="D30" s="18">
        <v>42341.621261574073</v>
      </c>
      <c r="E30" t="s">
        <v>181</v>
      </c>
      <c r="F30" s="19">
        <v>0.97598645352175517</v>
      </c>
      <c r="G30" s="19">
        <v>0.96205179282868525</v>
      </c>
      <c r="H30" s="19">
        <v>0.91863578374431909</v>
      </c>
      <c r="I30" s="19">
        <v>3.9118647441663656E-2</v>
      </c>
      <c r="J30" s="19">
        <v>0.9200361352064137</v>
      </c>
      <c r="K30" s="19">
        <v>4.5700383985787379E-2</v>
      </c>
      <c r="L30" s="19"/>
      <c r="M30" s="19"/>
      <c r="N30" s="19"/>
      <c r="O30" s="19"/>
      <c r="P30" s="19"/>
    </row>
    <row r="31" spans="2:16" x14ac:dyDescent="0.2">
      <c r="B31" t="s">
        <v>615</v>
      </c>
      <c r="C31" t="s">
        <v>404</v>
      </c>
      <c r="D31" s="18">
        <v>42341.621261574073</v>
      </c>
      <c r="E31" t="s">
        <v>179</v>
      </c>
      <c r="F31" s="19">
        <v>0.95370319603320297</v>
      </c>
      <c r="G31" s="19">
        <v>0.8408588435374148</v>
      </c>
      <c r="H31" s="19">
        <v>0.92299565469536649</v>
      </c>
      <c r="I31" s="19">
        <v>4.5092708955785883E-2</v>
      </c>
      <c r="J31" s="19">
        <v>0.96876750700280112</v>
      </c>
      <c r="K31" s="19">
        <v>2.6766846514651946E-2</v>
      </c>
      <c r="L31" s="19"/>
      <c r="M31" s="19"/>
      <c r="N31" s="19"/>
      <c r="O31" s="19"/>
      <c r="P31" s="19"/>
    </row>
    <row r="32" spans="2:16" x14ac:dyDescent="0.2">
      <c r="B32" t="s">
        <v>390</v>
      </c>
      <c r="C32" t="s">
        <v>390</v>
      </c>
      <c r="D32" s="18">
        <v>42341.621261574073</v>
      </c>
      <c r="E32" t="s">
        <v>663</v>
      </c>
      <c r="F32" s="19">
        <v>0.96684039723875392</v>
      </c>
      <c r="G32" s="19">
        <v>0.92655215029785398</v>
      </c>
      <c r="H32" s="19">
        <v>0.92980415122527094</v>
      </c>
      <c r="I32" s="19">
        <v>1.2872051473967758E-2</v>
      </c>
      <c r="J32" s="19">
        <v>0.90113622110876546</v>
      </c>
      <c r="K32" s="19">
        <v>2.1161209570782803E-2</v>
      </c>
      <c r="L32" s="19"/>
      <c r="M32" s="19"/>
      <c r="N32" s="19"/>
      <c r="O32" s="19"/>
      <c r="P32" s="19"/>
    </row>
    <row r="33" spans="2:16" x14ac:dyDescent="0.2">
      <c r="B33" t="s">
        <v>212</v>
      </c>
      <c r="C33" t="s">
        <v>390</v>
      </c>
      <c r="D33" s="18">
        <v>42341.621261574073</v>
      </c>
      <c r="E33" t="s">
        <v>160</v>
      </c>
      <c r="F33" s="19">
        <v>0.98941997448788155</v>
      </c>
      <c r="G33" s="19">
        <v>0.95849126034958598</v>
      </c>
      <c r="H33" s="19">
        <v>0.9642080027710368</v>
      </c>
      <c r="I33" s="19">
        <v>3.6162795803033491E-2</v>
      </c>
      <c r="J33" s="19">
        <v>0.91316948469313397</v>
      </c>
      <c r="K33" s="19">
        <v>5.1261296489590012E-2</v>
      </c>
      <c r="L33" s="19">
        <v>0.96253269998623159</v>
      </c>
      <c r="M33" s="19">
        <v>0.94221226803333591</v>
      </c>
      <c r="N33" s="19">
        <v>3.6706185296664702E-2</v>
      </c>
      <c r="O33" s="19">
        <v>0.97672108188542173</v>
      </c>
      <c r="P33" s="19">
        <v>2.2376663278575463E-2</v>
      </c>
    </row>
    <row r="34" spans="2:16" x14ac:dyDescent="0.2">
      <c r="B34" t="s">
        <v>571</v>
      </c>
      <c r="C34" t="s">
        <v>390</v>
      </c>
      <c r="D34" s="18">
        <v>42341.621261574073</v>
      </c>
      <c r="E34" t="s">
        <v>160</v>
      </c>
      <c r="F34" s="19">
        <v>0.98941997448788155</v>
      </c>
      <c r="G34" s="19">
        <v>0.95849126034958598</v>
      </c>
      <c r="H34" s="19">
        <v>0.9642080027710368</v>
      </c>
      <c r="I34" s="19">
        <v>3.6162795803033491E-2</v>
      </c>
      <c r="J34" s="19">
        <v>0.91316948469313397</v>
      </c>
      <c r="K34" s="19">
        <v>5.1261296489590012E-2</v>
      </c>
      <c r="L34" s="19">
        <v>0.96253269998623159</v>
      </c>
      <c r="M34" s="19">
        <v>0.94221226803333591</v>
      </c>
      <c r="N34" s="19">
        <v>3.6706185296664702E-2</v>
      </c>
      <c r="O34" s="19">
        <v>0.97672108188542173</v>
      </c>
      <c r="P34" s="19">
        <v>2.2376663278575463E-2</v>
      </c>
    </row>
    <row r="35" spans="2:16" x14ac:dyDescent="0.2">
      <c r="B35" t="s">
        <v>553</v>
      </c>
      <c r="C35" t="s">
        <v>380</v>
      </c>
      <c r="D35" s="18">
        <v>42341.621261574073</v>
      </c>
      <c r="E35" t="s">
        <v>153</v>
      </c>
      <c r="F35" s="19">
        <v>0.90782854310901029</v>
      </c>
      <c r="G35" s="19">
        <v>0.80980812725111617</v>
      </c>
      <c r="H35" s="19">
        <v>0.91282123763926148</v>
      </c>
      <c r="I35" s="19">
        <v>4.051625092545507E-2</v>
      </c>
      <c r="J35" s="19">
        <v>0.92812554962532301</v>
      </c>
      <c r="K35" s="19">
        <v>3.7330799043784356E-2</v>
      </c>
      <c r="L35" s="19"/>
      <c r="M35" s="19"/>
      <c r="N35" s="19"/>
      <c r="O35" s="19"/>
      <c r="P35" s="19"/>
    </row>
    <row r="36" spans="2:16" x14ac:dyDescent="0.2">
      <c r="B36" t="s">
        <v>609</v>
      </c>
      <c r="C36" t="s">
        <v>385</v>
      </c>
      <c r="D36" s="18">
        <v>42341.621261574073</v>
      </c>
      <c r="E36" t="s">
        <v>176</v>
      </c>
      <c r="F36" s="19">
        <v>0.94445953426324802</v>
      </c>
      <c r="G36" s="19">
        <v>0.85680867187242593</v>
      </c>
      <c r="H36" s="19">
        <v>0.9161284536311094</v>
      </c>
      <c r="I36" s="19">
        <v>4.7728729449518427E-2</v>
      </c>
      <c r="J36" s="19">
        <v>0.96342323682591147</v>
      </c>
      <c r="K36" s="19">
        <v>3.7391960789688101E-2</v>
      </c>
      <c r="L36" s="19"/>
      <c r="M36" s="19"/>
      <c r="N36" s="19"/>
      <c r="O36" s="19"/>
      <c r="P36" s="19"/>
    </row>
    <row r="37" spans="2:16" x14ac:dyDescent="0.2">
      <c r="B37" t="s">
        <v>549</v>
      </c>
      <c r="C37" t="s">
        <v>380</v>
      </c>
      <c r="D37" s="18">
        <v>42341.621261574073</v>
      </c>
      <c r="E37" t="s">
        <v>94</v>
      </c>
      <c r="F37" s="19">
        <v>0.99125197740692406</v>
      </c>
      <c r="G37" s="19">
        <v>1</v>
      </c>
      <c r="H37" s="19">
        <v>0.94692961359628025</v>
      </c>
      <c r="I37" s="19">
        <v>3.3698689816281518E-2</v>
      </c>
      <c r="J37" s="19">
        <v>0.94013512206913208</v>
      </c>
      <c r="K37" s="19">
        <v>3.6686146156928029E-2</v>
      </c>
      <c r="L37" s="19"/>
      <c r="M37" s="19"/>
      <c r="N37" s="19"/>
      <c r="O37" s="19"/>
      <c r="P37" s="19"/>
    </row>
    <row r="38" spans="2:16" x14ac:dyDescent="0.2">
      <c r="B38" t="s">
        <v>551</v>
      </c>
      <c r="C38" t="s">
        <v>385</v>
      </c>
      <c r="D38" s="18">
        <v>42341.621261574073</v>
      </c>
      <c r="E38" t="s">
        <v>152</v>
      </c>
      <c r="F38" s="19">
        <v>0.98741815019862156</v>
      </c>
      <c r="G38" s="19">
        <v>1</v>
      </c>
      <c r="H38" s="19">
        <v>0.92552007110479662</v>
      </c>
      <c r="I38" s="19">
        <v>4.0488050389170811E-2</v>
      </c>
      <c r="J38" s="19">
        <v>0.94136270421399226</v>
      </c>
      <c r="K38" s="19">
        <v>3.6028803011477845E-2</v>
      </c>
      <c r="L38" s="19"/>
      <c r="M38" s="19"/>
      <c r="N38" s="19"/>
      <c r="O38" s="19"/>
      <c r="P38" s="19"/>
    </row>
    <row r="39" spans="2:16" x14ac:dyDescent="0.2">
      <c r="B39" t="s">
        <v>518</v>
      </c>
      <c r="C39" t="s">
        <v>369</v>
      </c>
      <c r="D39" s="18">
        <v>42341.621261574073</v>
      </c>
      <c r="E39" t="s">
        <v>141</v>
      </c>
      <c r="F39" s="19">
        <v>0.95009146915606246</v>
      </c>
      <c r="G39" s="19">
        <v>0.85112592325707082</v>
      </c>
      <c r="H39" s="19">
        <v>0.89898706077767865</v>
      </c>
      <c r="I39" s="19">
        <v>4.752568567591986E-2</v>
      </c>
      <c r="J39" s="19">
        <v>0.92776992820595927</v>
      </c>
      <c r="K39" s="19">
        <v>4.0318412272002606E-2</v>
      </c>
      <c r="L39" s="19"/>
      <c r="M39" s="19"/>
      <c r="N39" s="19"/>
      <c r="O39" s="19"/>
      <c r="P39" s="19"/>
    </row>
    <row r="40" spans="2:16" x14ac:dyDescent="0.2">
      <c r="B40" t="s">
        <v>524</v>
      </c>
      <c r="C40" t="s">
        <v>369</v>
      </c>
      <c r="D40" s="18">
        <v>42341.621261574073</v>
      </c>
      <c r="E40" t="s">
        <v>144</v>
      </c>
      <c r="F40" s="19">
        <v>0.96757826723070706</v>
      </c>
      <c r="G40" s="19">
        <v>0.93652447089947088</v>
      </c>
      <c r="H40" s="19">
        <v>0.89573728179059775</v>
      </c>
      <c r="I40" s="19">
        <v>4.1087996608787376E-2</v>
      </c>
      <c r="J40" s="19">
        <v>0.87758619381468317</v>
      </c>
      <c r="K40" s="19">
        <v>4.8405400501336189E-2</v>
      </c>
      <c r="L40" s="19"/>
      <c r="M40" s="19"/>
      <c r="N40" s="19"/>
      <c r="O40" s="19"/>
      <c r="P40" s="19"/>
    </row>
    <row r="41" spans="2:16" x14ac:dyDescent="0.2">
      <c r="B41" t="s">
        <v>369</v>
      </c>
      <c r="C41" t="s">
        <v>369</v>
      </c>
      <c r="D41" s="18">
        <v>42341.621261574073</v>
      </c>
      <c r="E41" t="s">
        <v>662</v>
      </c>
      <c r="F41" s="19">
        <v>0.96509265269579259</v>
      </c>
      <c r="G41" s="19">
        <v>0.88915597034621041</v>
      </c>
      <c r="H41" s="19">
        <v>0.87230660699508245</v>
      </c>
      <c r="I41" s="19">
        <v>1.6710481666821906E-2</v>
      </c>
      <c r="J41" s="19">
        <v>0.89276885898611813</v>
      </c>
      <c r="K41" s="19">
        <v>1.6002069137405997E-2</v>
      </c>
      <c r="L41" s="19"/>
      <c r="M41" s="19"/>
      <c r="N41" s="19"/>
      <c r="O41" s="19"/>
      <c r="P41" s="19"/>
    </row>
    <row r="42" spans="2:16" x14ac:dyDescent="0.2">
      <c r="B42" t="s">
        <v>591</v>
      </c>
      <c r="C42" t="s">
        <v>404</v>
      </c>
      <c r="D42" s="18">
        <v>42341.621261574073</v>
      </c>
      <c r="E42" t="s">
        <v>168</v>
      </c>
      <c r="F42" s="19">
        <v>0.95872343265060767</v>
      </c>
      <c r="G42" s="19">
        <v>0.90430828465215085</v>
      </c>
      <c r="H42" s="19">
        <v>0.95367763284673945</v>
      </c>
      <c r="I42" s="19">
        <v>3.2845586498638751E-2</v>
      </c>
      <c r="J42" s="19">
        <v>0.90490862624473334</v>
      </c>
      <c r="K42" s="19">
        <v>4.9994731108768065E-2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404</v>
      </c>
      <c r="C44" t="s">
        <v>404</v>
      </c>
      <c r="D44" s="18">
        <v>42341.621261574073</v>
      </c>
      <c r="E44" t="s">
        <v>665</v>
      </c>
      <c r="F44" s="19">
        <v>0.9606735225859856</v>
      </c>
      <c r="G44" s="19">
        <v>0.89780811765067081</v>
      </c>
      <c r="H44" s="19">
        <v>0.90997626413136645</v>
      </c>
      <c r="I44" s="19">
        <v>1.5736762345191835E-2</v>
      </c>
      <c r="J44" s="19">
        <v>0.93320499240597188</v>
      </c>
      <c r="K44" s="19">
        <v>1.540544509893536E-2</v>
      </c>
      <c r="L44" s="19"/>
      <c r="M44" s="19"/>
      <c r="N44" s="19"/>
      <c r="O44" s="19"/>
      <c r="P44" s="19"/>
    </row>
    <row r="45" spans="2:16" x14ac:dyDescent="0.2">
      <c r="B45" t="s">
        <v>213</v>
      </c>
      <c r="C45" t="s">
        <v>369</v>
      </c>
      <c r="D45" s="18">
        <v>42341.621261574073</v>
      </c>
      <c r="E45" t="s">
        <v>102</v>
      </c>
      <c r="F45" s="19">
        <v>0.93158721710409353</v>
      </c>
      <c r="G45" s="19">
        <v>0.85729969251431404</v>
      </c>
      <c r="H45" s="19">
        <v>0.85304537237291767</v>
      </c>
      <c r="I45" s="19">
        <v>5.1664924235531796E-2</v>
      </c>
      <c r="J45" s="19">
        <v>0.89614431336532274</v>
      </c>
      <c r="K45" s="19">
        <v>5.0575399016445033E-2</v>
      </c>
      <c r="L45" s="19">
        <v>0.91336575930824593</v>
      </c>
      <c r="M45" s="19">
        <v>0.93702961093243231</v>
      </c>
      <c r="N45" s="19">
        <v>4.0278478343888792E-2</v>
      </c>
      <c r="O45" s="19">
        <v>0.92517387991315747</v>
      </c>
      <c r="P45" s="19">
        <v>4.8773435007311787E-2</v>
      </c>
    </row>
    <row r="46" spans="2:16" x14ac:dyDescent="0.2">
      <c r="B46" t="s">
        <v>526</v>
      </c>
      <c r="C46" t="s">
        <v>369</v>
      </c>
      <c r="D46" s="18">
        <v>42341.621261574073</v>
      </c>
      <c r="E46" t="s">
        <v>102</v>
      </c>
      <c r="F46" s="19">
        <v>0.93158721710409353</v>
      </c>
      <c r="G46" s="19">
        <v>0.85729969251431404</v>
      </c>
      <c r="H46" s="19">
        <v>0.85304537237291767</v>
      </c>
      <c r="I46" s="19">
        <v>5.1664924235531796E-2</v>
      </c>
      <c r="J46" s="19">
        <v>0.89614431336532274</v>
      </c>
      <c r="K46" s="19">
        <v>5.0575399016445033E-2</v>
      </c>
      <c r="L46" s="19">
        <v>0.91336575930824593</v>
      </c>
      <c r="M46" s="19">
        <v>0.93702961093243231</v>
      </c>
      <c r="N46" s="19">
        <v>4.0278478343888792E-2</v>
      </c>
      <c r="O46" s="19">
        <v>0.92517387991315747</v>
      </c>
      <c r="P46" s="19">
        <v>4.8773435007311787E-2</v>
      </c>
    </row>
    <row r="47" spans="2:16" x14ac:dyDescent="0.2">
      <c r="B47" t="s">
        <v>595</v>
      </c>
      <c r="C47" t="s">
        <v>404</v>
      </c>
      <c r="D47" s="18">
        <v>42341.621261574073</v>
      </c>
      <c r="E47" t="s">
        <v>170</v>
      </c>
      <c r="F47" s="19">
        <v>0.89835964000294066</v>
      </c>
      <c r="G47" s="19">
        <v>0.83413043478260851</v>
      </c>
      <c r="H47" s="19">
        <v>0.89795762305839988</v>
      </c>
      <c r="I47" s="19">
        <v>5.0200223164515737E-2</v>
      </c>
      <c r="J47" s="19">
        <v>0.93030450658106023</v>
      </c>
      <c r="K47" s="19">
        <v>4.2862979200929061E-2</v>
      </c>
      <c r="L47" s="19"/>
      <c r="M47" s="19"/>
      <c r="N47" s="19"/>
      <c r="O47" s="19"/>
      <c r="P47" s="19"/>
    </row>
    <row r="48" spans="2:16" x14ac:dyDescent="0.2">
      <c r="B48" t="s">
        <v>529</v>
      </c>
      <c r="C48" t="s">
        <v>369</v>
      </c>
      <c r="D48" s="18">
        <v>42341.621261574073</v>
      </c>
      <c r="E48" t="s">
        <v>145</v>
      </c>
      <c r="F48" s="19">
        <v>0.93728469047914409</v>
      </c>
      <c r="G48" s="19">
        <v>0.91372282608695632</v>
      </c>
      <c r="H48" s="19">
        <v>0.90225378361763986</v>
      </c>
      <c r="I48" s="19">
        <v>4.6078091657013973E-2</v>
      </c>
      <c r="J48" s="19">
        <v>0.90688082335323483</v>
      </c>
      <c r="K48" s="19">
        <v>5.8149289913883774E-2</v>
      </c>
      <c r="L48" s="19"/>
      <c r="M48" s="19"/>
      <c r="N48" s="19"/>
      <c r="O48" s="19"/>
      <c r="P48" s="19"/>
    </row>
    <row r="49" spans="2:16" x14ac:dyDescent="0.2">
      <c r="B49" t="s">
        <v>603</v>
      </c>
      <c r="C49" t="s">
        <v>404</v>
      </c>
      <c r="D49" s="18">
        <v>42341.621261574073</v>
      </c>
      <c r="E49" t="s">
        <v>173</v>
      </c>
      <c r="F49" s="19">
        <v>0.87545183269280857</v>
      </c>
      <c r="G49" s="19">
        <v>0.80649463225978524</v>
      </c>
      <c r="H49" s="19">
        <v>0.91344284854218638</v>
      </c>
      <c r="I49" s="19">
        <v>4.6259287447189192E-2</v>
      </c>
      <c r="J49" s="19">
        <v>0.93937304055244819</v>
      </c>
      <c r="K49" s="19">
        <v>4.0804785144557557E-2</v>
      </c>
      <c r="L49" s="19"/>
      <c r="M49" s="19"/>
      <c r="N49" s="19"/>
      <c r="O49" s="19"/>
      <c r="P49" s="19"/>
    </row>
    <row r="50" spans="2:16" x14ac:dyDescent="0.2">
      <c r="B50" t="s">
        <v>514</v>
      </c>
      <c r="C50" t="s">
        <v>369</v>
      </c>
      <c r="D50" s="18">
        <v>42341.621261574073</v>
      </c>
      <c r="E50" t="s">
        <v>140</v>
      </c>
      <c r="F50" s="19">
        <v>0.97911338991892494</v>
      </c>
      <c r="G50" s="19">
        <v>0.89053124542660622</v>
      </c>
      <c r="H50" s="19">
        <v>0.86018663386136851</v>
      </c>
      <c r="I50" s="19">
        <v>6.1464620544372295E-2</v>
      </c>
      <c r="J50" s="19">
        <v>0.96005313597115471</v>
      </c>
      <c r="K50" s="19">
        <v>3.2610188355958414E-2</v>
      </c>
      <c r="L50" s="19"/>
      <c r="M50" s="19"/>
      <c r="N50" s="19"/>
      <c r="O50" s="19"/>
      <c r="P50" s="19"/>
    </row>
    <row r="51" spans="2:16" x14ac:dyDescent="0.2">
      <c r="B51" t="s">
        <v>611</v>
      </c>
      <c r="C51" t="s">
        <v>404</v>
      </c>
      <c r="D51" s="18">
        <v>42341.621261574073</v>
      </c>
      <c r="E51" t="s">
        <v>177</v>
      </c>
      <c r="F51" s="19">
        <v>0.92944102133246653</v>
      </c>
      <c r="G51" s="19">
        <v>0.86590980763166203</v>
      </c>
      <c r="H51" s="19">
        <v>0.89392770068376382</v>
      </c>
      <c r="I51" s="19">
        <v>5.1498179183372204E-2</v>
      </c>
      <c r="J51" s="19">
        <v>0.96184654957153914</v>
      </c>
      <c r="K51" s="19">
        <v>2.7960302638344387E-2</v>
      </c>
      <c r="L51" s="19"/>
      <c r="M51" s="19"/>
      <c r="N51" s="19"/>
      <c r="O51" s="19"/>
      <c r="P51" s="19"/>
    </row>
    <row r="52" spans="2:16" x14ac:dyDescent="0.2">
      <c r="B52" t="s">
        <v>535</v>
      </c>
      <c r="C52" t="s">
        <v>369</v>
      </c>
      <c r="D52" s="18">
        <v>42341.621261574073</v>
      </c>
      <c r="E52" t="s">
        <v>106</v>
      </c>
      <c r="F52" s="19">
        <v>0.97291607013525128</v>
      </c>
      <c r="G52" s="19">
        <v>0.88675258821043745</v>
      </c>
      <c r="H52" s="19">
        <v>0.91133575615934925</v>
      </c>
      <c r="I52" s="19">
        <v>4.6944990940559352E-2</v>
      </c>
      <c r="J52" s="19">
        <v>0.90729634074541965</v>
      </c>
      <c r="K52" s="19">
        <v>4.4813108918778252E-2</v>
      </c>
      <c r="L52" s="19"/>
      <c r="M52" s="19"/>
      <c r="N52" s="19"/>
      <c r="O52" s="19"/>
      <c r="P52" s="19"/>
    </row>
    <row r="53" spans="2:16" x14ac:dyDescent="0.2">
      <c r="B53" t="s">
        <v>588</v>
      </c>
      <c r="C53" t="s">
        <v>385</v>
      </c>
      <c r="D53" s="18">
        <v>42341.621261574073</v>
      </c>
      <c r="E53" t="s">
        <v>167</v>
      </c>
      <c r="F53" s="19">
        <v>0.97898179731307011</v>
      </c>
      <c r="G53" s="19">
        <v>0.92264567058969016</v>
      </c>
      <c r="H53" s="19">
        <v>0.91106813531769393</v>
      </c>
      <c r="I53" s="19">
        <v>4.2454412225569914E-2</v>
      </c>
      <c r="J53" s="19">
        <v>0.95041237925756894</v>
      </c>
      <c r="K53" s="19">
        <v>3.32471095654207E-2</v>
      </c>
      <c r="L53" s="253"/>
      <c r="M53" s="253"/>
      <c r="N53" s="253"/>
      <c r="O53" s="253"/>
      <c r="P53" s="253"/>
    </row>
    <row r="54" spans="2:16" x14ac:dyDescent="0.2">
      <c r="B54" t="s">
        <v>624</v>
      </c>
      <c r="C54" t="s">
        <v>404</v>
      </c>
      <c r="D54" s="18">
        <v>42341.621261574073</v>
      </c>
      <c r="E54" t="s">
        <v>182</v>
      </c>
      <c r="F54" s="19">
        <v>0.98215936563206341</v>
      </c>
      <c r="G54" s="19">
        <v>0.88796480964410762</v>
      </c>
      <c r="H54" s="19">
        <v>0.8942016029939428</v>
      </c>
      <c r="I54" s="19">
        <v>4.1267341620044889E-2</v>
      </c>
      <c r="J54" s="19">
        <v>0.93630090910838193</v>
      </c>
      <c r="K54" s="19">
        <v>4.2252345196873618E-2</v>
      </c>
      <c r="L54" s="19"/>
      <c r="M54" s="19"/>
      <c r="N54" s="19"/>
      <c r="O54" s="19"/>
      <c r="P54" s="19"/>
    </row>
    <row r="55" spans="2:16" x14ac:dyDescent="0.2">
      <c r="B55" t="s">
        <v>613</v>
      </c>
      <c r="C55" t="s">
        <v>380</v>
      </c>
      <c r="D55" s="18">
        <v>42341.621261574073</v>
      </c>
      <c r="E55" t="s">
        <v>178</v>
      </c>
      <c r="F55" s="19">
        <v>0.94577280539001507</v>
      </c>
      <c r="G55" s="19">
        <v>0.91805247597930528</v>
      </c>
      <c r="H55" s="19">
        <v>0.87678924925245982</v>
      </c>
      <c r="I55" s="19">
        <v>4.8659170819396566E-2</v>
      </c>
      <c r="J55" s="19">
        <v>0.8763227054819519</v>
      </c>
      <c r="K55" s="19">
        <v>5.4941531152799428E-2</v>
      </c>
      <c r="L55" s="19"/>
      <c r="M55" s="19"/>
      <c r="N55" s="19"/>
      <c r="O55" s="19"/>
      <c r="P55" s="19"/>
    </row>
    <row r="56" spans="2:16" x14ac:dyDescent="0.2">
      <c r="B56" t="s">
        <v>597</v>
      </c>
      <c r="C56" t="s">
        <v>404</v>
      </c>
      <c r="D56" s="18">
        <v>42341.621261574073</v>
      </c>
      <c r="E56" t="s">
        <v>171</v>
      </c>
      <c r="F56" s="19">
        <v>0.96948861645316431</v>
      </c>
      <c r="G56" s="19">
        <v>0.93458435941837303</v>
      </c>
      <c r="H56" s="19">
        <v>0.91924964129951037</v>
      </c>
      <c r="I56" s="19">
        <v>3.9323704963684064E-2</v>
      </c>
      <c r="J56" s="19">
        <v>0.94758363086530517</v>
      </c>
      <c r="K56" s="19">
        <v>3.6159772089332305E-2</v>
      </c>
      <c r="L56" s="19"/>
      <c r="M56" s="19"/>
      <c r="N56" s="19"/>
      <c r="O56" s="19"/>
      <c r="P56" s="19"/>
    </row>
    <row r="57" spans="2:16" x14ac:dyDescent="0.2">
      <c r="B57" t="s">
        <v>635</v>
      </c>
      <c r="C57" t="s">
        <v>390</v>
      </c>
      <c r="D57" s="18">
        <v>42341.621261574073</v>
      </c>
      <c r="E57" t="s">
        <v>187</v>
      </c>
      <c r="F57" s="19">
        <v>0.90680323854578038</v>
      </c>
      <c r="G57" s="19">
        <v>0.93943661971830972</v>
      </c>
      <c r="H57" s="19">
        <v>0.93983279607935633</v>
      </c>
      <c r="I57" s="19">
        <v>3.8676660893616557E-2</v>
      </c>
      <c r="J57" s="19">
        <v>0.94049733292989512</v>
      </c>
      <c r="K57" s="19">
        <v>3.5551590144124887E-2</v>
      </c>
      <c r="L57" s="19"/>
      <c r="M57" s="19"/>
      <c r="N57" s="19"/>
      <c r="O57" s="19"/>
      <c r="P57" s="19"/>
    </row>
    <row r="58" spans="2:16" x14ac:dyDescent="0.2">
      <c r="B58" t="s">
        <v>380</v>
      </c>
      <c r="C58" t="s">
        <v>380</v>
      </c>
      <c r="D58" s="18">
        <v>42341.621261574073</v>
      </c>
      <c r="E58" t="s">
        <v>661</v>
      </c>
      <c r="F58" s="19">
        <v>0.9540171679183187</v>
      </c>
      <c r="G58" s="19">
        <v>0.89905561983626436</v>
      </c>
      <c r="H58" s="19">
        <v>0.9032550768384604</v>
      </c>
      <c r="I58" s="19">
        <v>2.0701683468708723E-2</v>
      </c>
      <c r="J58" s="19">
        <v>0.88843535928602924</v>
      </c>
      <c r="K58" s="19">
        <v>2.6726023570885004E-2</v>
      </c>
      <c r="L58" s="19"/>
      <c r="M58" s="19"/>
      <c r="N58" s="19"/>
      <c r="O58" s="19"/>
      <c r="P58" s="19"/>
    </row>
    <row r="59" spans="2:16" x14ac:dyDescent="0.2">
      <c r="B59" t="s">
        <v>574</v>
      </c>
      <c r="C59" t="s">
        <v>390</v>
      </c>
      <c r="D59" s="18">
        <v>42341.621261574073</v>
      </c>
      <c r="E59" t="s">
        <v>161</v>
      </c>
      <c r="F59" s="19">
        <v>0.97819255219684886</v>
      </c>
      <c r="G59" s="19">
        <v>0.97728089080459768</v>
      </c>
      <c r="H59" s="19">
        <v>0.91517588950955475</v>
      </c>
      <c r="I59" s="19">
        <v>4.1713960140686838E-2</v>
      </c>
      <c r="J59" s="19">
        <v>0.86862734872176806</v>
      </c>
      <c r="K59" s="19">
        <v>5.4134496647627726E-2</v>
      </c>
      <c r="L59" s="19"/>
      <c r="M59" s="19"/>
      <c r="N59" s="19"/>
      <c r="O59" s="19"/>
      <c r="P59" s="19"/>
    </row>
    <row r="60" spans="2:16" x14ac:dyDescent="0.2">
      <c r="B60" t="s">
        <v>215</v>
      </c>
      <c r="C60" t="s">
        <v>390</v>
      </c>
      <c r="D60" s="18">
        <v>42341.621261574073</v>
      </c>
      <c r="E60" t="s">
        <v>164</v>
      </c>
      <c r="F60" s="19">
        <v>0.97006594274063507</v>
      </c>
      <c r="G60" s="19">
        <v>0.90994507993143747</v>
      </c>
      <c r="H60" s="19">
        <v>0.94086263511539581</v>
      </c>
      <c r="I60" s="19">
        <v>3.713222780548172E-2</v>
      </c>
      <c r="J60" s="19">
        <v>0.86939364410590736</v>
      </c>
      <c r="K60" s="19">
        <v>5.9429506614925388E-2</v>
      </c>
      <c r="L60" s="19">
        <v>1</v>
      </c>
      <c r="M60" s="19">
        <v>0.99181176584824771</v>
      </c>
      <c r="N60" s="19">
        <v>9.8227936471293725E-3</v>
      </c>
      <c r="O60" s="19">
        <v>0.98593055566785526</v>
      </c>
      <c r="P60" s="19">
        <v>1.7221858586439681E-2</v>
      </c>
    </row>
    <row r="61" spans="2:16" x14ac:dyDescent="0.2">
      <c r="B61" t="s">
        <v>580</v>
      </c>
      <c r="C61" t="s">
        <v>390</v>
      </c>
      <c r="D61" s="18">
        <v>42341.621261574073</v>
      </c>
      <c r="E61" t="s">
        <v>164</v>
      </c>
      <c r="F61" s="19">
        <v>0.97006594274063507</v>
      </c>
      <c r="G61" s="19">
        <v>0.90994507993143747</v>
      </c>
      <c r="H61" s="19">
        <v>0.94086263511539581</v>
      </c>
      <c r="I61" s="19">
        <v>3.713222780548172E-2</v>
      </c>
      <c r="J61" s="19">
        <v>0.86939364410590736</v>
      </c>
      <c r="K61" s="19">
        <v>5.9429506614925388E-2</v>
      </c>
      <c r="L61" s="19">
        <v>1</v>
      </c>
      <c r="M61" s="19">
        <v>0.99181176584824771</v>
      </c>
      <c r="N61" s="19">
        <v>9.8227936471293725E-3</v>
      </c>
      <c r="O61" s="19">
        <v>0.98593055566785526</v>
      </c>
      <c r="P61" s="19">
        <v>1.7221858586439681E-2</v>
      </c>
    </row>
    <row r="62" spans="2:16" x14ac:dyDescent="0.2">
      <c r="B62" t="s">
        <v>541</v>
      </c>
      <c r="C62" t="s">
        <v>380</v>
      </c>
      <c r="D62" s="18">
        <v>42341.621261574073</v>
      </c>
      <c r="E62" t="s">
        <v>149</v>
      </c>
      <c r="F62" s="19">
        <v>0.93489936808977059</v>
      </c>
      <c r="G62" s="19">
        <v>0.83178447433174907</v>
      </c>
      <c r="H62" s="19">
        <v>0.86434729278091471</v>
      </c>
      <c r="I62" s="19">
        <v>5.6185236006739386E-2</v>
      </c>
      <c r="J62" s="19">
        <v>0.86782728318292934</v>
      </c>
      <c r="K62" s="19">
        <v>5.8625818620356471E-2</v>
      </c>
      <c r="L62" s="19"/>
      <c r="M62" s="19"/>
      <c r="N62" s="19"/>
      <c r="O62" s="19"/>
      <c r="P62" s="19"/>
    </row>
    <row r="63" spans="2:16" x14ac:dyDescent="0.2">
      <c r="B63" t="s">
        <v>627</v>
      </c>
      <c r="C63" t="s">
        <v>369</v>
      </c>
      <c r="D63" s="18">
        <v>42341.621261574073</v>
      </c>
      <c r="E63" t="s">
        <v>183</v>
      </c>
      <c r="F63" s="19">
        <v>0.95440717080048665</v>
      </c>
      <c r="G63" s="19">
        <v>0.85704514363885087</v>
      </c>
      <c r="H63" s="19">
        <v>0.87950874020494285</v>
      </c>
      <c r="I63" s="19">
        <v>5.7898165484844173E-2</v>
      </c>
      <c r="J63" s="19">
        <v>0.96351773426110754</v>
      </c>
      <c r="K63" s="19">
        <v>3.6233483577180439E-2</v>
      </c>
      <c r="L63" s="19"/>
      <c r="M63" s="19"/>
      <c r="N63" s="19"/>
      <c r="O63" s="19"/>
      <c r="P63" s="19"/>
    </row>
    <row r="64" spans="2:16" x14ac:dyDescent="0.2">
      <c r="B64" t="s">
        <v>696</v>
      </c>
      <c r="C64" t="s">
        <v>6</v>
      </c>
      <c r="D64" s="18">
        <v>42341.621261574073</v>
      </c>
      <c r="E64" t="s">
        <v>437</v>
      </c>
      <c r="F64" s="19"/>
      <c r="G64" s="19"/>
      <c r="H64" s="19"/>
      <c r="I64" s="19"/>
      <c r="J64" s="19"/>
      <c r="K64" s="19"/>
      <c r="L64" s="19">
        <v>0.96188671939819681</v>
      </c>
      <c r="M64" s="19">
        <v>0.95934109688177616</v>
      </c>
      <c r="N64" s="19">
        <v>1.7480490378684124E-2</v>
      </c>
      <c r="O64" s="19">
        <v>0.96265060511142908</v>
      </c>
      <c r="P64" s="19">
        <v>1.9031103282115536E-2</v>
      </c>
    </row>
    <row r="65" spans="2:16" x14ac:dyDescent="0.2">
      <c r="B65" t="s">
        <v>698</v>
      </c>
      <c r="C65" t="s">
        <v>6</v>
      </c>
      <c r="D65" s="18">
        <v>42341.621261574073</v>
      </c>
      <c r="E65" t="s">
        <v>437</v>
      </c>
      <c r="F65" s="19">
        <v>0.96302893320757221</v>
      </c>
      <c r="G65" s="19">
        <v>0.9018949024373043</v>
      </c>
      <c r="H65" s="19">
        <v>0.90319910745629872</v>
      </c>
      <c r="I65" s="19">
        <v>7.5337381709705657E-3</v>
      </c>
      <c r="J65" s="19">
        <v>0.90822738940094705</v>
      </c>
      <c r="K65" s="19">
        <v>8.8258353019992335E-3</v>
      </c>
      <c r="L65" s="19">
        <v>0.96188671939819681</v>
      </c>
      <c r="M65" s="19">
        <v>0.95934109688177616</v>
      </c>
      <c r="N65" s="19">
        <v>1.7480490378684124E-2</v>
      </c>
      <c r="O65" s="19">
        <v>0.96265060511142908</v>
      </c>
      <c r="P65" s="19">
        <v>1.9031103282115536E-2</v>
      </c>
    </row>
    <row r="66" spans="2:16" x14ac:dyDescent="0.2">
      <c r="B66" t="s">
        <v>605</v>
      </c>
      <c r="C66" t="s">
        <v>385</v>
      </c>
      <c r="D66" s="18">
        <v>42341.621261574073</v>
      </c>
      <c r="E66" t="s">
        <v>174</v>
      </c>
      <c r="F66" s="19">
        <v>0.95924775468948109</v>
      </c>
      <c r="G66" s="19">
        <v>0.85106155019756746</v>
      </c>
      <c r="H66" s="19">
        <v>0.89826633490997398</v>
      </c>
      <c r="I66" s="19">
        <v>4.4537241132193588E-2</v>
      </c>
      <c r="J66" s="19">
        <v>0.919773499910022</v>
      </c>
      <c r="K66" s="19">
        <v>4.3880963658175461E-2</v>
      </c>
      <c r="L66" s="19"/>
      <c r="M66" s="19"/>
      <c r="N66" s="19"/>
      <c r="O66" s="19"/>
      <c r="P66" s="19"/>
    </row>
    <row r="67" spans="2:16" x14ac:dyDescent="0.2">
      <c r="B67" t="s">
        <v>670</v>
      </c>
      <c r="C67" t="s">
        <v>369</v>
      </c>
      <c r="D67" s="18">
        <v>42341.621261574073</v>
      </c>
      <c r="E67" t="s">
        <v>669</v>
      </c>
      <c r="F67" s="152">
        <v>0.87286176606564958</v>
      </c>
      <c r="G67" s="152">
        <v>0.75490196078431371</v>
      </c>
      <c r="H67" s="152">
        <v>0.90510797342192706</v>
      </c>
      <c r="I67" s="152">
        <v>0.11531707483160958</v>
      </c>
      <c r="J67" s="152">
        <v>0.80777441727310906</v>
      </c>
      <c r="K67" s="152">
        <v>4.1533559192586153E-2</v>
      </c>
      <c r="L67" s="152"/>
      <c r="M67" s="152"/>
      <c r="N67" s="152"/>
      <c r="O67" s="152"/>
      <c r="P67" s="152"/>
    </row>
    <row r="68" spans="2:16" x14ac:dyDescent="0.2">
      <c r="B68" t="s">
        <v>629</v>
      </c>
      <c r="C68" t="s">
        <v>369</v>
      </c>
      <c r="D68" s="18">
        <v>42341.621261574073</v>
      </c>
      <c r="E68" t="s">
        <v>92</v>
      </c>
      <c r="F68" s="152">
        <v>0.91214507250191712</v>
      </c>
      <c r="G68" s="152">
        <v>0.90478101352900708</v>
      </c>
      <c r="H68" s="152">
        <v>0.83858473647846088</v>
      </c>
      <c r="I68" s="152">
        <v>5.2137911435447111E-2</v>
      </c>
      <c r="J68" s="152">
        <v>0.91495057932046953</v>
      </c>
      <c r="K68" s="152">
        <v>3.50815182990592E-2</v>
      </c>
      <c r="L68" s="152"/>
      <c r="M68" s="152"/>
      <c r="N68" s="152"/>
      <c r="O68" s="152"/>
      <c r="P68" s="152"/>
    </row>
    <row r="69" spans="2:16" x14ac:dyDescent="0.2">
      <c r="B69" t="s">
        <v>639</v>
      </c>
      <c r="C69" t="s">
        <v>390</v>
      </c>
      <c r="D69" s="18">
        <v>42341.621261574073</v>
      </c>
      <c r="E69" t="s">
        <v>188</v>
      </c>
      <c r="F69" s="152">
        <v>0.98584944298820443</v>
      </c>
      <c r="G69" s="152">
        <v>0.9490187398553932</v>
      </c>
      <c r="H69" s="152">
        <v>0.93113787615740717</v>
      </c>
      <c r="I69" s="152">
        <v>3.9195502513984765E-2</v>
      </c>
      <c r="J69" s="152">
        <v>0.90648773905340918</v>
      </c>
      <c r="K69" s="152">
        <v>5.7953485533716674E-2</v>
      </c>
      <c r="L69" s="152"/>
      <c r="M69" s="152"/>
      <c r="N69" s="152"/>
      <c r="O69" s="152"/>
      <c r="P69" s="152"/>
    </row>
    <row r="70" spans="2:16" x14ac:dyDescent="0.2">
      <c r="B70" t="s">
        <v>643</v>
      </c>
      <c r="C70" t="s">
        <v>369</v>
      </c>
      <c r="D70" s="18">
        <v>42341.621261574073</v>
      </c>
      <c r="E70" t="s">
        <v>190</v>
      </c>
      <c r="F70" s="152">
        <v>0.94521731616693994</v>
      </c>
      <c r="G70" s="152">
        <v>0.7981404240528327</v>
      </c>
      <c r="H70" s="152">
        <v>0.8499168612467275</v>
      </c>
      <c r="I70" s="152">
        <v>4.749099326376488E-2</v>
      </c>
      <c r="J70" s="152">
        <v>0.87817539224273178</v>
      </c>
      <c r="K70" s="152">
        <v>5.41667253402629E-2</v>
      </c>
      <c r="L70" s="152"/>
      <c r="M70" s="152"/>
      <c r="N70" s="152"/>
      <c r="O70" s="152"/>
      <c r="P70" s="152"/>
    </row>
    <row r="71" spans="2:16" x14ac:dyDescent="0.2">
      <c r="B71" t="s">
        <v>543</v>
      </c>
      <c r="C71" t="s">
        <v>369</v>
      </c>
      <c r="D71" s="18">
        <v>42341.621261574073</v>
      </c>
      <c r="E71" t="s">
        <v>150</v>
      </c>
      <c r="F71" s="152">
        <v>0.97529361743180709</v>
      </c>
      <c r="G71" s="152">
        <v>0.93181782321941364</v>
      </c>
      <c r="H71" s="152">
        <v>0.83822838995775883</v>
      </c>
      <c r="I71" s="152">
        <v>5.2545878659911976E-2</v>
      </c>
      <c r="J71" s="152">
        <v>0.94594417650063789</v>
      </c>
      <c r="K71" s="152">
        <v>3.6984565396134171E-2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950</v>
      </c>
      <c r="C2" t="s">
        <v>951</v>
      </c>
      <c r="D2" t="s">
        <v>136</v>
      </c>
      <c r="F2" t="s">
        <v>945</v>
      </c>
      <c r="G2" t="s">
        <v>932</v>
      </c>
      <c r="H2" t="s">
        <v>933</v>
      </c>
      <c r="I2" t="s">
        <v>934</v>
      </c>
      <c r="J2" t="s">
        <v>935</v>
      </c>
      <c r="K2" t="s">
        <v>936</v>
      </c>
      <c r="L2" t="s">
        <v>937</v>
      </c>
      <c r="M2" t="s">
        <v>938</v>
      </c>
      <c r="N2" t="s">
        <v>939</v>
      </c>
      <c r="O2" t="s">
        <v>940</v>
      </c>
      <c r="P2" t="s">
        <v>941</v>
      </c>
      <c r="Q2" t="s">
        <v>942</v>
      </c>
      <c r="R2" t="s">
        <v>943</v>
      </c>
      <c r="S2" t="s">
        <v>944</v>
      </c>
      <c r="V2" t="s">
        <v>946</v>
      </c>
      <c r="W2" t="s">
        <v>932</v>
      </c>
      <c r="X2" t="s">
        <v>933</v>
      </c>
      <c r="Y2" t="s">
        <v>934</v>
      </c>
      <c r="Z2" t="s">
        <v>935</v>
      </c>
      <c r="AA2" t="s">
        <v>936</v>
      </c>
      <c r="AB2" t="s">
        <v>937</v>
      </c>
      <c r="AC2" t="s">
        <v>938</v>
      </c>
      <c r="AD2" t="s">
        <v>939</v>
      </c>
      <c r="AE2" t="s">
        <v>940</v>
      </c>
      <c r="AF2" t="s">
        <v>941</v>
      </c>
      <c r="AG2" t="s">
        <v>942</v>
      </c>
      <c r="AH2" t="s">
        <v>943</v>
      </c>
      <c r="AI2" t="s">
        <v>944</v>
      </c>
      <c r="AL2" t="s">
        <v>947</v>
      </c>
      <c r="AM2" t="s">
        <v>932</v>
      </c>
      <c r="AN2" t="s">
        <v>933</v>
      </c>
      <c r="AO2" t="s">
        <v>934</v>
      </c>
      <c r="AP2" t="s">
        <v>935</v>
      </c>
      <c r="AQ2" t="s">
        <v>936</v>
      </c>
      <c r="AR2" t="s">
        <v>937</v>
      </c>
      <c r="AS2" t="s">
        <v>938</v>
      </c>
      <c r="AT2" t="s">
        <v>939</v>
      </c>
      <c r="AU2" t="s">
        <v>940</v>
      </c>
      <c r="AV2" t="s">
        <v>941</v>
      </c>
      <c r="AW2" t="s">
        <v>942</v>
      </c>
      <c r="AX2" t="s">
        <v>943</v>
      </c>
      <c r="AY2" t="s">
        <v>944</v>
      </c>
    </row>
    <row r="3" spans="2:51" x14ac:dyDescent="0.2">
      <c r="B3" t="s">
        <v>953</v>
      </c>
      <c r="C3">
        <v>392409</v>
      </c>
      <c r="D3">
        <v>415.40343170900002</v>
      </c>
      <c r="F3" t="s">
        <v>8</v>
      </c>
      <c r="G3">
        <v>10935</v>
      </c>
      <c r="P3">
        <v>10935</v>
      </c>
      <c r="Q3">
        <v>181.34431028169999</v>
      </c>
      <c r="V3" t="s">
        <v>308</v>
      </c>
      <c r="W3">
        <v>428</v>
      </c>
      <c r="X3">
        <v>292</v>
      </c>
      <c r="Y3">
        <v>343.80136986299999</v>
      </c>
      <c r="Z3">
        <v>21</v>
      </c>
      <c r="AA3">
        <v>580.80952380949998</v>
      </c>
      <c r="AB3">
        <v>79</v>
      </c>
      <c r="AC3">
        <v>578.53164556959996</v>
      </c>
      <c r="AD3">
        <v>37</v>
      </c>
      <c r="AE3">
        <v>663.13513513509997</v>
      </c>
      <c r="AF3">
        <v>19</v>
      </c>
      <c r="AG3">
        <v>218</v>
      </c>
      <c r="AH3">
        <v>1</v>
      </c>
      <c r="AI3">
        <v>159</v>
      </c>
      <c r="AL3" t="s">
        <v>308</v>
      </c>
      <c r="AM3">
        <v>8</v>
      </c>
      <c r="AN3">
        <v>5</v>
      </c>
      <c r="AO3">
        <v>402</v>
      </c>
      <c r="AP3">
        <v>3</v>
      </c>
      <c r="AQ3">
        <v>589.66666666670005</v>
      </c>
      <c r="AR3">
        <v>2</v>
      </c>
      <c r="AS3">
        <v>329</v>
      </c>
      <c r="AT3">
        <v>1</v>
      </c>
      <c r="AU3">
        <v>122</v>
      </c>
    </row>
    <row r="4" spans="2:51" x14ac:dyDescent="0.2">
      <c r="B4" t="s">
        <v>952</v>
      </c>
      <c r="C4">
        <v>36433</v>
      </c>
      <c r="D4">
        <v>415.40343170900002</v>
      </c>
      <c r="F4" t="s">
        <v>8</v>
      </c>
      <c r="G4">
        <v>10935</v>
      </c>
      <c r="P4">
        <v>10935</v>
      </c>
      <c r="Q4">
        <v>181.34431028169999</v>
      </c>
      <c r="V4" t="s">
        <v>8</v>
      </c>
      <c r="W4">
        <v>4767</v>
      </c>
      <c r="X4">
        <v>3551</v>
      </c>
      <c r="Y4">
        <v>440.46507042249999</v>
      </c>
      <c r="Z4">
        <v>418</v>
      </c>
      <c r="AA4">
        <v>443.77033492819999</v>
      </c>
      <c r="AB4">
        <v>462</v>
      </c>
      <c r="AC4">
        <v>544.70129870129995</v>
      </c>
      <c r="AD4">
        <v>707</v>
      </c>
      <c r="AE4">
        <v>834.41301272980002</v>
      </c>
      <c r="AF4">
        <v>40</v>
      </c>
      <c r="AG4">
        <v>288.52499999999998</v>
      </c>
      <c r="AH4">
        <v>7</v>
      </c>
      <c r="AI4">
        <v>303.85714285709997</v>
      </c>
      <c r="AL4" t="s">
        <v>8</v>
      </c>
      <c r="AM4">
        <v>65</v>
      </c>
      <c r="AN4">
        <v>56</v>
      </c>
      <c r="AO4">
        <v>221.08928571429999</v>
      </c>
      <c r="AP4">
        <v>9</v>
      </c>
      <c r="AQ4">
        <v>559.2222222222</v>
      </c>
      <c r="AR4">
        <v>9</v>
      </c>
      <c r="AS4">
        <v>187.3333333333</v>
      </c>
    </row>
    <row r="5" spans="2:51" x14ac:dyDescent="0.2">
      <c r="B5" t="s">
        <v>964</v>
      </c>
      <c r="C5">
        <v>21946</v>
      </c>
      <c r="D5">
        <v>576.33987970470002</v>
      </c>
      <c r="F5" t="s">
        <v>46</v>
      </c>
      <c r="G5">
        <v>577</v>
      </c>
      <c r="H5">
        <v>476</v>
      </c>
      <c r="I5">
        <v>238.65756302520001</v>
      </c>
      <c r="J5">
        <v>27</v>
      </c>
      <c r="K5">
        <v>484.14814814810001</v>
      </c>
      <c r="L5">
        <v>75</v>
      </c>
      <c r="M5">
        <v>202.85333333329999</v>
      </c>
      <c r="N5">
        <v>26</v>
      </c>
      <c r="O5">
        <v>219.42307692310001</v>
      </c>
      <c r="V5" t="s">
        <v>8</v>
      </c>
      <c r="W5">
        <v>5195</v>
      </c>
      <c r="X5">
        <v>3843</v>
      </c>
      <c r="Y5">
        <v>433.1184279021</v>
      </c>
      <c r="Z5">
        <v>439</v>
      </c>
      <c r="AA5">
        <v>450.32574031889999</v>
      </c>
      <c r="AB5">
        <v>541</v>
      </c>
      <c r="AC5">
        <v>549.64140480590004</v>
      </c>
      <c r="AD5">
        <v>744</v>
      </c>
      <c r="AE5">
        <v>825.89516129030005</v>
      </c>
      <c r="AF5">
        <v>59</v>
      </c>
      <c r="AG5">
        <v>265.813559322</v>
      </c>
      <c r="AH5">
        <v>8</v>
      </c>
      <c r="AI5">
        <v>285.75</v>
      </c>
      <c r="AL5" t="s">
        <v>8</v>
      </c>
      <c r="AM5">
        <v>73</v>
      </c>
      <c r="AN5">
        <v>61</v>
      </c>
      <c r="AO5">
        <v>235.9180327869</v>
      </c>
      <c r="AP5">
        <v>12</v>
      </c>
      <c r="AQ5">
        <v>566.83333333329995</v>
      </c>
      <c r="AR5">
        <v>11</v>
      </c>
      <c r="AS5">
        <v>213.0909090909</v>
      </c>
      <c r="AT5">
        <v>1</v>
      </c>
      <c r="AU5">
        <v>122</v>
      </c>
    </row>
    <row r="6" spans="2:51" x14ac:dyDescent="0.2">
      <c r="B6" t="s">
        <v>244</v>
      </c>
      <c r="C6">
        <v>54656</v>
      </c>
      <c r="D6">
        <v>611.40301156320004</v>
      </c>
      <c r="F6" t="s">
        <v>40</v>
      </c>
      <c r="G6">
        <v>8113</v>
      </c>
      <c r="H6">
        <v>6233</v>
      </c>
      <c r="I6">
        <v>443.55976255410002</v>
      </c>
      <c r="J6">
        <v>210</v>
      </c>
      <c r="K6">
        <v>916.38571428570003</v>
      </c>
      <c r="L6">
        <v>1312</v>
      </c>
      <c r="M6">
        <v>569.97179878049997</v>
      </c>
      <c r="N6">
        <v>550</v>
      </c>
      <c r="O6">
        <v>615.13454545449997</v>
      </c>
      <c r="R6">
        <v>18</v>
      </c>
      <c r="S6">
        <v>697.11111111109994</v>
      </c>
      <c r="V6" t="s">
        <v>399</v>
      </c>
      <c r="W6">
        <v>1286</v>
      </c>
      <c r="X6">
        <v>653</v>
      </c>
      <c r="Y6">
        <v>163.54823889740001</v>
      </c>
      <c r="Z6">
        <v>241</v>
      </c>
      <c r="AA6">
        <v>288.43153526970002</v>
      </c>
      <c r="AB6">
        <v>432</v>
      </c>
      <c r="AC6">
        <v>265.9814814815</v>
      </c>
      <c r="AD6">
        <v>118</v>
      </c>
      <c r="AE6">
        <v>297.58474576269998</v>
      </c>
      <c r="AF6">
        <v>81</v>
      </c>
      <c r="AG6">
        <v>170.45679012350001</v>
      </c>
      <c r="AH6">
        <v>2</v>
      </c>
      <c r="AI6">
        <v>266.5</v>
      </c>
      <c r="AL6" t="s">
        <v>399</v>
      </c>
      <c r="AM6">
        <v>28</v>
      </c>
      <c r="AN6">
        <v>16</v>
      </c>
      <c r="AO6">
        <v>142.0625</v>
      </c>
      <c r="AP6">
        <v>12</v>
      </c>
      <c r="AQ6">
        <v>216.3333333333</v>
      </c>
      <c r="AR6">
        <v>8</v>
      </c>
      <c r="AS6">
        <v>198.375</v>
      </c>
      <c r="AT6">
        <v>4</v>
      </c>
      <c r="AU6">
        <v>109.5</v>
      </c>
    </row>
    <row r="7" spans="2:51" x14ac:dyDescent="0.2">
      <c r="B7" t="s">
        <v>243</v>
      </c>
      <c r="C7">
        <v>234314</v>
      </c>
      <c r="D7">
        <v>396.2969603592</v>
      </c>
      <c r="F7" t="s">
        <v>45</v>
      </c>
      <c r="G7">
        <v>5628</v>
      </c>
      <c r="H7">
        <v>4024</v>
      </c>
      <c r="I7">
        <v>398.17345924450001</v>
      </c>
      <c r="J7">
        <v>837</v>
      </c>
      <c r="K7">
        <v>482.57706093190001</v>
      </c>
      <c r="L7">
        <v>1005</v>
      </c>
      <c r="M7">
        <v>632.38606965170004</v>
      </c>
      <c r="N7">
        <v>592</v>
      </c>
      <c r="O7">
        <v>422.65540540540002</v>
      </c>
      <c r="R7">
        <v>7</v>
      </c>
      <c r="S7">
        <v>637.71428571429999</v>
      </c>
      <c r="V7" t="s">
        <v>391</v>
      </c>
      <c r="W7">
        <v>13786</v>
      </c>
      <c r="X7">
        <v>10064</v>
      </c>
      <c r="Y7">
        <v>634.98439984100003</v>
      </c>
      <c r="Z7">
        <v>474</v>
      </c>
      <c r="AA7">
        <v>1224.2616033755</v>
      </c>
      <c r="AB7">
        <v>2637</v>
      </c>
      <c r="AC7">
        <v>1335.01592719</v>
      </c>
      <c r="AD7">
        <v>876</v>
      </c>
      <c r="AE7">
        <v>853.53310502279999</v>
      </c>
      <c r="AF7">
        <v>183</v>
      </c>
      <c r="AG7">
        <v>244.78688524590001</v>
      </c>
      <c r="AH7">
        <v>26</v>
      </c>
      <c r="AI7">
        <v>670.07692307690002</v>
      </c>
      <c r="AL7" t="s">
        <v>391</v>
      </c>
      <c r="AM7">
        <v>402</v>
      </c>
      <c r="AN7">
        <v>325</v>
      </c>
      <c r="AO7">
        <v>542.92615384620001</v>
      </c>
      <c r="AP7">
        <v>35</v>
      </c>
      <c r="AQ7">
        <v>951.51428571429994</v>
      </c>
      <c r="AR7">
        <v>74</v>
      </c>
      <c r="AS7">
        <v>566.7837837838</v>
      </c>
      <c r="AT7">
        <v>3</v>
      </c>
      <c r="AU7">
        <v>217</v>
      </c>
    </row>
    <row r="8" spans="2:51" x14ac:dyDescent="0.2">
      <c r="B8" t="s">
        <v>245</v>
      </c>
      <c r="C8">
        <v>25057</v>
      </c>
      <c r="D8">
        <v>516.82205013570001</v>
      </c>
      <c r="F8" t="s">
        <v>53</v>
      </c>
      <c r="G8">
        <v>1139</v>
      </c>
      <c r="H8">
        <v>326</v>
      </c>
      <c r="I8">
        <v>98.613496932499999</v>
      </c>
      <c r="J8">
        <v>361</v>
      </c>
      <c r="K8">
        <v>208.58448753459999</v>
      </c>
      <c r="L8">
        <v>571</v>
      </c>
      <c r="M8">
        <v>224.704028021</v>
      </c>
      <c r="N8">
        <v>239</v>
      </c>
      <c r="O8">
        <v>200.38493723849999</v>
      </c>
      <c r="R8">
        <v>3</v>
      </c>
      <c r="S8">
        <v>288.3333333333</v>
      </c>
      <c r="V8" t="s">
        <v>422</v>
      </c>
      <c r="W8">
        <v>1337</v>
      </c>
      <c r="X8">
        <v>897</v>
      </c>
      <c r="Y8">
        <v>203.96544035669999</v>
      </c>
      <c r="Z8">
        <v>232</v>
      </c>
      <c r="AA8">
        <v>375.30172413790001</v>
      </c>
      <c r="AB8">
        <v>156</v>
      </c>
      <c r="AC8">
        <v>140.55128205130001</v>
      </c>
      <c r="AD8">
        <v>188</v>
      </c>
      <c r="AE8">
        <v>370.1542553191</v>
      </c>
      <c r="AF8">
        <v>93</v>
      </c>
      <c r="AG8">
        <v>182.54838709680001</v>
      </c>
      <c r="AH8">
        <v>3</v>
      </c>
      <c r="AI8">
        <v>167.6666666667</v>
      </c>
      <c r="AL8" t="s">
        <v>422</v>
      </c>
      <c r="AM8">
        <v>28</v>
      </c>
      <c r="AN8">
        <v>19</v>
      </c>
      <c r="AO8">
        <v>154</v>
      </c>
      <c r="AP8">
        <v>6</v>
      </c>
      <c r="AQ8">
        <v>250.1666666667</v>
      </c>
      <c r="AR8">
        <v>8</v>
      </c>
      <c r="AS8">
        <v>147.625</v>
      </c>
      <c r="AV8">
        <v>1</v>
      </c>
      <c r="AW8">
        <v>3</v>
      </c>
    </row>
    <row r="9" spans="2:51" x14ac:dyDescent="0.2">
      <c r="B9" t="s">
        <v>246</v>
      </c>
      <c r="C9">
        <v>10935</v>
      </c>
      <c r="D9">
        <v>181.34431028169999</v>
      </c>
      <c r="F9" t="s">
        <v>84</v>
      </c>
      <c r="G9">
        <v>1209</v>
      </c>
      <c r="H9">
        <v>855</v>
      </c>
      <c r="I9">
        <v>201.09824561400001</v>
      </c>
      <c r="J9">
        <v>244</v>
      </c>
      <c r="K9">
        <v>378.71311475409999</v>
      </c>
      <c r="L9">
        <v>151</v>
      </c>
      <c r="M9">
        <v>110.7417218543</v>
      </c>
      <c r="N9">
        <v>200</v>
      </c>
      <c r="O9">
        <v>364.22</v>
      </c>
      <c r="R9">
        <v>3</v>
      </c>
      <c r="S9">
        <v>167.6666666667</v>
      </c>
      <c r="V9" t="s">
        <v>392</v>
      </c>
      <c r="W9">
        <v>8250</v>
      </c>
      <c r="X9">
        <v>6329</v>
      </c>
      <c r="Y9">
        <v>494.84499921000003</v>
      </c>
      <c r="Z9">
        <v>267</v>
      </c>
      <c r="AA9">
        <v>939.26217228459996</v>
      </c>
      <c r="AB9">
        <v>1336</v>
      </c>
      <c r="AC9">
        <v>972.12050898200005</v>
      </c>
      <c r="AD9">
        <v>422</v>
      </c>
      <c r="AE9">
        <v>667.18483412319995</v>
      </c>
      <c r="AF9">
        <v>159</v>
      </c>
      <c r="AG9">
        <v>152.16981132079999</v>
      </c>
      <c r="AH9">
        <v>4</v>
      </c>
      <c r="AI9">
        <v>104</v>
      </c>
      <c r="AL9" t="s">
        <v>392</v>
      </c>
      <c r="AM9">
        <v>190</v>
      </c>
      <c r="AN9">
        <v>170</v>
      </c>
      <c r="AO9">
        <v>556.07647058819998</v>
      </c>
      <c r="AP9">
        <v>12</v>
      </c>
      <c r="AQ9">
        <v>848.41666666670005</v>
      </c>
      <c r="AR9">
        <v>18</v>
      </c>
      <c r="AS9">
        <v>444.2777777778</v>
      </c>
      <c r="AT9">
        <v>2</v>
      </c>
      <c r="AU9">
        <v>145</v>
      </c>
    </row>
    <row r="10" spans="2:51" x14ac:dyDescent="0.2">
      <c r="B10" t="s">
        <v>948</v>
      </c>
      <c r="C10">
        <v>441</v>
      </c>
      <c r="D10">
        <v>456.20861678</v>
      </c>
      <c r="F10" t="s">
        <v>79</v>
      </c>
      <c r="G10">
        <v>1801</v>
      </c>
      <c r="H10">
        <v>737</v>
      </c>
      <c r="I10">
        <v>114.64586160109999</v>
      </c>
      <c r="J10">
        <v>522</v>
      </c>
      <c r="K10">
        <v>206.8850574713</v>
      </c>
      <c r="L10">
        <v>971</v>
      </c>
      <c r="M10">
        <v>291.51390319260003</v>
      </c>
      <c r="N10">
        <v>93</v>
      </c>
      <c r="O10">
        <v>162.5591397849</v>
      </c>
      <c r="V10" t="s">
        <v>394</v>
      </c>
      <c r="W10">
        <v>8312</v>
      </c>
      <c r="X10">
        <v>6158</v>
      </c>
      <c r="Y10">
        <v>440.35449821370003</v>
      </c>
      <c r="Z10">
        <v>215</v>
      </c>
      <c r="AA10">
        <v>873.66046511629997</v>
      </c>
      <c r="AB10">
        <v>1308</v>
      </c>
      <c r="AC10">
        <v>573.70642201830003</v>
      </c>
      <c r="AD10">
        <v>553</v>
      </c>
      <c r="AE10">
        <v>602.49186256780001</v>
      </c>
      <c r="AF10">
        <v>275</v>
      </c>
      <c r="AG10">
        <v>178.0981818182</v>
      </c>
      <c r="AH10">
        <v>18</v>
      </c>
      <c r="AI10">
        <v>697.11111111109994</v>
      </c>
      <c r="AL10" t="s">
        <v>394</v>
      </c>
      <c r="AM10">
        <v>350</v>
      </c>
      <c r="AN10">
        <v>246</v>
      </c>
      <c r="AO10">
        <v>396.64227642280002</v>
      </c>
      <c r="AP10">
        <v>22</v>
      </c>
      <c r="AQ10">
        <v>620.72727272730003</v>
      </c>
      <c r="AR10">
        <v>93</v>
      </c>
      <c r="AS10">
        <v>422.4946236559</v>
      </c>
      <c r="AT10">
        <v>11</v>
      </c>
      <c r="AU10">
        <v>205.0909090909</v>
      </c>
    </row>
    <row r="11" spans="2:51" x14ac:dyDescent="0.2">
      <c r="F11" t="s">
        <v>41</v>
      </c>
      <c r="G11">
        <v>13764</v>
      </c>
      <c r="H11">
        <v>10198</v>
      </c>
      <c r="I11">
        <v>640.68434987249998</v>
      </c>
      <c r="J11">
        <v>469</v>
      </c>
      <c r="K11">
        <v>1260.1556503198001</v>
      </c>
      <c r="L11">
        <v>2677</v>
      </c>
      <c r="M11">
        <v>1352.1811729548001</v>
      </c>
      <c r="N11">
        <v>862</v>
      </c>
      <c r="O11">
        <v>869.76566125290003</v>
      </c>
      <c r="R11">
        <v>27</v>
      </c>
      <c r="S11">
        <v>649.55555555559999</v>
      </c>
      <c r="V11" t="s">
        <v>395</v>
      </c>
      <c r="W11">
        <v>5925</v>
      </c>
      <c r="X11">
        <v>4014</v>
      </c>
      <c r="Y11">
        <v>401.32959641259998</v>
      </c>
      <c r="Z11">
        <v>816</v>
      </c>
      <c r="AA11">
        <v>488.57720588239999</v>
      </c>
      <c r="AB11">
        <v>1012</v>
      </c>
      <c r="AC11">
        <v>644.51976284579996</v>
      </c>
      <c r="AD11">
        <v>593</v>
      </c>
      <c r="AE11">
        <v>430.98819561549999</v>
      </c>
      <c r="AF11">
        <v>298</v>
      </c>
      <c r="AG11">
        <v>190.04026845640001</v>
      </c>
      <c r="AH11">
        <v>8</v>
      </c>
      <c r="AI11">
        <v>587.875</v>
      </c>
      <c r="AL11" t="s">
        <v>395</v>
      </c>
      <c r="AM11">
        <v>261</v>
      </c>
      <c r="AN11">
        <v>210</v>
      </c>
      <c r="AO11">
        <v>372.52380952380003</v>
      </c>
      <c r="AP11">
        <v>16</v>
      </c>
      <c r="AQ11">
        <v>536.6875</v>
      </c>
      <c r="AR11">
        <v>45</v>
      </c>
      <c r="AS11">
        <v>376.02222222220001</v>
      </c>
      <c r="AT11">
        <v>5</v>
      </c>
      <c r="AU11">
        <v>440.8</v>
      </c>
      <c r="AV11">
        <v>1</v>
      </c>
      <c r="AW11">
        <v>130</v>
      </c>
    </row>
    <row r="12" spans="2:51" x14ac:dyDescent="0.2">
      <c r="F12" t="s">
        <v>59</v>
      </c>
      <c r="G12">
        <v>3341</v>
      </c>
      <c r="H12">
        <v>2825</v>
      </c>
      <c r="I12">
        <v>289.10194690269998</v>
      </c>
      <c r="J12">
        <v>194</v>
      </c>
      <c r="K12">
        <v>536.79381443299997</v>
      </c>
      <c r="L12">
        <v>460</v>
      </c>
      <c r="M12">
        <v>309.72826086959998</v>
      </c>
      <c r="N12">
        <v>56</v>
      </c>
      <c r="O12">
        <v>126.69642857140001</v>
      </c>
      <c r="V12" t="s">
        <v>397</v>
      </c>
      <c r="W12">
        <v>6862</v>
      </c>
      <c r="X12">
        <v>5665</v>
      </c>
      <c r="Y12">
        <v>296.2342453663</v>
      </c>
      <c r="Z12">
        <v>389</v>
      </c>
      <c r="AA12">
        <v>615.51928020570006</v>
      </c>
      <c r="AB12">
        <v>358</v>
      </c>
      <c r="AC12">
        <v>197.2765363128</v>
      </c>
      <c r="AD12">
        <v>519</v>
      </c>
      <c r="AE12">
        <v>343.14450867049999</v>
      </c>
      <c r="AF12">
        <v>309</v>
      </c>
      <c r="AG12">
        <v>159.7799352751</v>
      </c>
      <c r="AH12">
        <v>11</v>
      </c>
      <c r="AI12">
        <v>392.36363636359999</v>
      </c>
      <c r="AL12" t="s">
        <v>397</v>
      </c>
      <c r="AM12">
        <v>222</v>
      </c>
      <c r="AN12">
        <v>187</v>
      </c>
      <c r="AO12">
        <v>366.5882352941</v>
      </c>
      <c r="AP12">
        <v>10</v>
      </c>
      <c r="AQ12">
        <v>540.29999999999995</v>
      </c>
      <c r="AR12">
        <v>35</v>
      </c>
      <c r="AS12">
        <v>179.8571428571</v>
      </c>
    </row>
    <row r="13" spans="2:51" x14ac:dyDescent="0.2">
      <c r="F13" t="s">
        <v>78</v>
      </c>
      <c r="G13">
        <v>6446</v>
      </c>
      <c r="H13">
        <v>5603</v>
      </c>
      <c r="I13">
        <v>290.43922898450001</v>
      </c>
      <c r="J13">
        <v>394</v>
      </c>
      <c r="K13">
        <v>614.93147208120001</v>
      </c>
      <c r="L13">
        <v>326</v>
      </c>
      <c r="M13">
        <v>171.07975460119999</v>
      </c>
      <c r="N13">
        <v>507</v>
      </c>
      <c r="O13">
        <v>340.77514792900001</v>
      </c>
      <c r="R13">
        <v>10</v>
      </c>
      <c r="S13">
        <v>399.7</v>
      </c>
      <c r="V13" t="s">
        <v>400</v>
      </c>
      <c r="W13">
        <v>1294</v>
      </c>
      <c r="X13">
        <v>358</v>
      </c>
      <c r="Y13">
        <v>131.29608938550001</v>
      </c>
      <c r="Z13">
        <v>360</v>
      </c>
      <c r="AA13">
        <v>216.48333333330001</v>
      </c>
      <c r="AB13">
        <v>567</v>
      </c>
      <c r="AC13">
        <v>231.35978835980001</v>
      </c>
      <c r="AD13">
        <v>234</v>
      </c>
      <c r="AE13">
        <v>200.78205128210001</v>
      </c>
      <c r="AF13">
        <v>133</v>
      </c>
      <c r="AG13">
        <v>178.5639097744</v>
      </c>
      <c r="AH13">
        <v>2</v>
      </c>
      <c r="AI13">
        <v>273</v>
      </c>
      <c r="AL13" t="s">
        <v>400</v>
      </c>
      <c r="AM13">
        <v>24</v>
      </c>
      <c r="AN13">
        <v>12</v>
      </c>
      <c r="AO13">
        <v>150.6666666667</v>
      </c>
      <c r="AP13">
        <v>6</v>
      </c>
      <c r="AQ13">
        <v>213.8333333333</v>
      </c>
      <c r="AR13">
        <v>8</v>
      </c>
      <c r="AS13">
        <v>100.625</v>
      </c>
      <c r="AT13">
        <v>4</v>
      </c>
      <c r="AU13">
        <v>110</v>
      </c>
    </row>
    <row r="14" spans="2:51" x14ac:dyDescent="0.2">
      <c r="F14" t="s">
        <v>44</v>
      </c>
      <c r="G14">
        <v>1176</v>
      </c>
      <c r="H14">
        <v>621</v>
      </c>
      <c r="I14">
        <v>140.78099838969999</v>
      </c>
      <c r="J14">
        <v>245</v>
      </c>
      <c r="K14">
        <v>277.94285714289998</v>
      </c>
      <c r="L14">
        <v>434</v>
      </c>
      <c r="M14">
        <v>268.53456221200003</v>
      </c>
      <c r="N14">
        <v>119</v>
      </c>
      <c r="O14">
        <v>302.10924369750001</v>
      </c>
      <c r="R14">
        <v>2</v>
      </c>
      <c r="S14">
        <v>266.5</v>
      </c>
      <c r="V14" t="s">
        <v>401</v>
      </c>
      <c r="W14">
        <v>2244</v>
      </c>
      <c r="X14">
        <v>960</v>
      </c>
      <c r="Y14">
        <v>159.2385416667</v>
      </c>
      <c r="Z14">
        <v>521</v>
      </c>
      <c r="AA14">
        <v>219.10556621879999</v>
      </c>
      <c r="AB14">
        <v>995</v>
      </c>
      <c r="AC14">
        <v>298.2653266332</v>
      </c>
      <c r="AD14">
        <v>102</v>
      </c>
      <c r="AE14">
        <v>217.7843137255</v>
      </c>
      <c r="AF14">
        <v>187</v>
      </c>
      <c r="AG14">
        <v>177.1711229947</v>
      </c>
      <c r="AL14" t="s">
        <v>401</v>
      </c>
      <c r="AM14">
        <v>27</v>
      </c>
      <c r="AN14">
        <v>17</v>
      </c>
      <c r="AO14">
        <v>70</v>
      </c>
      <c r="AP14">
        <v>19</v>
      </c>
      <c r="AQ14">
        <v>224.7894736842</v>
      </c>
      <c r="AR14">
        <v>4</v>
      </c>
      <c r="AS14">
        <v>128.25</v>
      </c>
      <c r="AT14">
        <v>5</v>
      </c>
      <c r="AU14">
        <v>104.4</v>
      </c>
      <c r="AV14">
        <v>1</v>
      </c>
      <c r="AW14">
        <v>3</v>
      </c>
    </row>
    <row r="15" spans="2:51" x14ac:dyDescent="0.2">
      <c r="F15" t="s">
        <v>77</v>
      </c>
      <c r="G15">
        <v>226</v>
      </c>
      <c r="H15">
        <v>85</v>
      </c>
      <c r="I15">
        <v>108.56470588240001</v>
      </c>
      <c r="J15">
        <v>124</v>
      </c>
      <c r="K15">
        <v>173.82258064519999</v>
      </c>
      <c r="L15">
        <v>91</v>
      </c>
      <c r="M15">
        <v>186.4065934066</v>
      </c>
      <c r="N15">
        <v>42</v>
      </c>
      <c r="O15">
        <v>216.11904761900001</v>
      </c>
      <c r="R15">
        <v>8</v>
      </c>
      <c r="S15">
        <v>203.375</v>
      </c>
      <c r="V15" t="s">
        <v>396</v>
      </c>
      <c r="W15">
        <v>3449</v>
      </c>
      <c r="X15">
        <v>2808</v>
      </c>
      <c r="Y15">
        <v>295.91809116809998</v>
      </c>
      <c r="Z15">
        <v>211</v>
      </c>
      <c r="AA15">
        <v>555.13744075830004</v>
      </c>
      <c r="AB15">
        <v>462</v>
      </c>
      <c r="AC15">
        <v>319.6341991342</v>
      </c>
      <c r="AD15">
        <v>75</v>
      </c>
      <c r="AE15">
        <v>190.53333333329999</v>
      </c>
      <c r="AF15">
        <v>104</v>
      </c>
      <c r="AG15">
        <v>153.29807692310001</v>
      </c>
      <c r="AL15" t="s">
        <v>396</v>
      </c>
      <c r="AM15">
        <v>92</v>
      </c>
      <c r="AN15">
        <v>69</v>
      </c>
      <c r="AO15">
        <v>280.94202898549997</v>
      </c>
      <c r="AP15">
        <v>5</v>
      </c>
      <c r="AQ15">
        <v>361.6</v>
      </c>
      <c r="AR15">
        <v>18</v>
      </c>
      <c r="AS15">
        <v>348.6666666667</v>
      </c>
      <c r="AT15">
        <v>5</v>
      </c>
      <c r="AU15">
        <v>263.8</v>
      </c>
    </row>
    <row r="16" spans="2:51" x14ac:dyDescent="0.2">
      <c r="F16" t="s">
        <v>51</v>
      </c>
      <c r="G16">
        <v>8349</v>
      </c>
      <c r="H16">
        <v>6564</v>
      </c>
      <c r="I16">
        <v>496.5583485679</v>
      </c>
      <c r="J16">
        <v>276</v>
      </c>
      <c r="K16">
        <v>948.80797101450003</v>
      </c>
      <c r="L16">
        <v>1366</v>
      </c>
      <c r="M16">
        <v>978.21083455339999</v>
      </c>
      <c r="N16">
        <v>415</v>
      </c>
      <c r="O16">
        <v>667.77349397590001</v>
      </c>
      <c r="R16">
        <v>4</v>
      </c>
      <c r="S16">
        <v>104</v>
      </c>
      <c r="V16" t="s">
        <v>419</v>
      </c>
      <c r="W16">
        <v>447</v>
      </c>
      <c r="X16">
        <v>351</v>
      </c>
      <c r="Y16">
        <v>243.7606837607</v>
      </c>
      <c r="Z16">
        <v>22</v>
      </c>
      <c r="AA16">
        <v>497.1818181818</v>
      </c>
      <c r="AB16">
        <v>61</v>
      </c>
      <c r="AC16">
        <v>288.98360655739998</v>
      </c>
      <c r="AD16">
        <v>15</v>
      </c>
      <c r="AE16">
        <v>216.86666666670001</v>
      </c>
      <c r="AF16">
        <v>20</v>
      </c>
      <c r="AG16">
        <v>124.55</v>
      </c>
      <c r="AL16" t="s">
        <v>419</v>
      </c>
      <c r="AM16">
        <v>8</v>
      </c>
      <c r="AN16">
        <v>7</v>
      </c>
      <c r="AO16">
        <v>213</v>
      </c>
      <c r="AP16">
        <v>3</v>
      </c>
      <c r="AQ16">
        <v>458.3333333333</v>
      </c>
      <c r="AR16">
        <v>1</v>
      </c>
      <c r="AS16">
        <v>80</v>
      </c>
    </row>
    <row r="17" spans="6:49" x14ac:dyDescent="0.2">
      <c r="F17" t="s">
        <v>390</v>
      </c>
      <c r="G17">
        <v>51769</v>
      </c>
      <c r="H17">
        <v>38547</v>
      </c>
      <c r="I17">
        <v>443.69068928839999</v>
      </c>
      <c r="J17">
        <v>3903</v>
      </c>
      <c r="K17">
        <v>557.02895208810003</v>
      </c>
      <c r="L17">
        <v>9439</v>
      </c>
      <c r="M17">
        <v>753.72730162089999</v>
      </c>
      <c r="N17">
        <v>3701</v>
      </c>
      <c r="O17">
        <v>535.49175898409999</v>
      </c>
      <c r="R17">
        <v>82</v>
      </c>
      <c r="S17">
        <v>518.18292682929996</v>
      </c>
      <c r="V17" t="s">
        <v>420</v>
      </c>
      <c r="W17">
        <v>195</v>
      </c>
      <c r="X17">
        <v>55</v>
      </c>
      <c r="Y17">
        <v>267.23636363639997</v>
      </c>
      <c r="Z17">
        <v>32</v>
      </c>
      <c r="AA17">
        <v>258.3125</v>
      </c>
      <c r="AB17">
        <v>46</v>
      </c>
      <c r="AC17">
        <v>334.5652173913</v>
      </c>
      <c r="AD17">
        <v>43</v>
      </c>
      <c r="AE17">
        <v>247.6046511628</v>
      </c>
      <c r="AF17">
        <v>43</v>
      </c>
      <c r="AG17">
        <v>264.65116279070003</v>
      </c>
      <c r="AH17">
        <v>8</v>
      </c>
      <c r="AI17">
        <v>203.375</v>
      </c>
      <c r="AL17" t="s">
        <v>420</v>
      </c>
      <c r="AM17">
        <v>8</v>
      </c>
      <c r="AN17">
        <v>6</v>
      </c>
      <c r="AO17">
        <v>177.5</v>
      </c>
      <c r="AP17">
        <v>5</v>
      </c>
      <c r="AQ17">
        <v>185.8</v>
      </c>
      <c r="AR17">
        <v>2</v>
      </c>
      <c r="AS17">
        <v>206</v>
      </c>
    </row>
    <row r="18" spans="6:49" x14ac:dyDescent="0.2">
      <c r="F18" t="s">
        <v>71</v>
      </c>
      <c r="G18">
        <v>3024</v>
      </c>
      <c r="H18">
        <v>2430</v>
      </c>
      <c r="I18">
        <v>273.033744856</v>
      </c>
      <c r="J18">
        <v>184</v>
      </c>
      <c r="K18">
        <v>529.81521739130005</v>
      </c>
      <c r="L18">
        <v>345</v>
      </c>
      <c r="M18">
        <v>310.10724637679999</v>
      </c>
      <c r="N18">
        <v>245</v>
      </c>
      <c r="O18">
        <v>511.88163265309998</v>
      </c>
      <c r="R18">
        <v>4</v>
      </c>
      <c r="S18">
        <v>821.75</v>
      </c>
      <c r="V18" t="s">
        <v>390</v>
      </c>
      <c r="W18">
        <v>53387</v>
      </c>
      <c r="X18">
        <v>38312</v>
      </c>
      <c r="Y18">
        <v>442.26318124869999</v>
      </c>
      <c r="Z18">
        <v>3780</v>
      </c>
      <c r="AA18">
        <v>566.67830687829996</v>
      </c>
      <c r="AB18">
        <v>9370</v>
      </c>
      <c r="AC18">
        <v>751.11536819640003</v>
      </c>
      <c r="AD18">
        <v>3738</v>
      </c>
      <c r="AE18">
        <v>534.55965757089996</v>
      </c>
      <c r="AF18">
        <v>1885</v>
      </c>
      <c r="AG18">
        <v>181.1405835544</v>
      </c>
      <c r="AH18">
        <v>82</v>
      </c>
      <c r="AI18">
        <v>519.68292682929996</v>
      </c>
      <c r="AL18" t="s">
        <v>390</v>
      </c>
      <c r="AM18">
        <v>1640</v>
      </c>
      <c r="AN18">
        <v>1284</v>
      </c>
      <c r="AO18">
        <v>424.82710280369997</v>
      </c>
      <c r="AP18">
        <v>151</v>
      </c>
      <c r="AQ18">
        <v>562.20529801320004</v>
      </c>
      <c r="AR18">
        <v>314</v>
      </c>
      <c r="AS18">
        <v>392.67834394900001</v>
      </c>
      <c r="AT18">
        <v>39</v>
      </c>
      <c r="AU18">
        <v>208.20512820510001</v>
      </c>
      <c r="AV18">
        <v>3</v>
      </c>
      <c r="AW18">
        <v>45.333333333299997</v>
      </c>
    </row>
    <row r="19" spans="6:49" x14ac:dyDescent="0.2">
      <c r="F19" t="s">
        <v>37</v>
      </c>
      <c r="G19">
        <v>931</v>
      </c>
      <c r="H19">
        <v>589</v>
      </c>
      <c r="I19">
        <v>242.85059422750001</v>
      </c>
      <c r="J19">
        <v>92</v>
      </c>
      <c r="K19">
        <v>472.16304347829998</v>
      </c>
      <c r="L19">
        <v>167</v>
      </c>
      <c r="M19">
        <v>227.1856287425</v>
      </c>
      <c r="N19">
        <v>171</v>
      </c>
      <c r="O19">
        <v>592.09941520469999</v>
      </c>
      <c r="R19">
        <v>4</v>
      </c>
      <c r="S19">
        <v>317</v>
      </c>
      <c r="V19" t="s">
        <v>408</v>
      </c>
      <c r="W19">
        <v>1012</v>
      </c>
      <c r="X19">
        <v>611</v>
      </c>
      <c r="Y19">
        <v>258.07528641570002</v>
      </c>
      <c r="Z19">
        <v>103</v>
      </c>
      <c r="AA19">
        <v>492.43689320390001</v>
      </c>
      <c r="AB19">
        <v>169</v>
      </c>
      <c r="AC19">
        <v>238.59171597630001</v>
      </c>
      <c r="AD19">
        <v>163</v>
      </c>
      <c r="AE19">
        <v>585.04907975460003</v>
      </c>
      <c r="AF19">
        <v>65</v>
      </c>
      <c r="AG19">
        <v>167.7538461538</v>
      </c>
      <c r="AH19">
        <v>4</v>
      </c>
      <c r="AI19">
        <v>317</v>
      </c>
      <c r="AL19" t="s">
        <v>408</v>
      </c>
      <c r="AM19">
        <v>14</v>
      </c>
      <c r="AN19">
        <v>13</v>
      </c>
      <c r="AO19">
        <v>144.4615384615</v>
      </c>
      <c r="AP19">
        <v>7</v>
      </c>
      <c r="AQ19">
        <v>229.1428571429</v>
      </c>
      <c r="AR19">
        <v>1</v>
      </c>
      <c r="AS19">
        <v>109</v>
      </c>
    </row>
    <row r="20" spans="6:49" x14ac:dyDescent="0.2">
      <c r="F20" t="s">
        <v>58</v>
      </c>
      <c r="G20">
        <v>980</v>
      </c>
      <c r="H20">
        <v>461</v>
      </c>
      <c r="I20">
        <v>196.98264642079999</v>
      </c>
      <c r="J20">
        <v>150</v>
      </c>
      <c r="K20">
        <v>348.26</v>
      </c>
      <c r="L20">
        <v>150</v>
      </c>
      <c r="M20">
        <v>325.63333333330002</v>
      </c>
      <c r="N20">
        <v>361</v>
      </c>
      <c r="O20">
        <v>579.06648199450001</v>
      </c>
      <c r="R20">
        <v>8</v>
      </c>
      <c r="S20">
        <v>283.875</v>
      </c>
      <c r="V20" t="s">
        <v>424</v>
      </c>
      <c r="W20">
        <v>283</v>
      </c>
      <c r="X20">
        <v>125</v>
      </c>
      <c r="Y20">
        <v>199.78399999999999</v>
      </c>
      <c r="Z20">
        <v>105</v>
      </c>
      <c r="AA20">
        <v>236.1047619048</v>
      </c>
      <c r="AB20">
        <v>68</v>
      </c>
      <c r="AC20">
        <v>193.54411764709999</v>
      </c>
      <c r="AD20">
        <v>54</v>
      </c>
      <c r="AE20">
        <v>486.7037037037</v>
      </c>
      <c r="AF20">
        <v>36</v>
      </c>
      <c r="AG20">
        <v>115.8333333333</v>
      </c>
      <c r="AL20" t="s">
        <v>424</v>
      </c>
      <c r="AM20">
        <v>3</v>
      </c>
      <c r="AN20">
        <v>3</v>
      </c>
      <c r="AO20">
        <v>89</v>
      </c>
      <c r="AP20">
        <v>1</v>
      </c>
      <c r="AQ20">
        <v>274</v>
      </c>
    </row>
    <row r="21" spans="6:49" x14ac:dyDescent="0.2">
      <c r="F21" t="s">
        <v>65</v>
      </c>
      <c r="G21">
        <v>8661</v>
      </c>
      <c r="H21">
        <v>7116</v>
      </c>
      <c r="I21">
        <v>382.52318718380002</v>
      </c>
      <c r="J21">
        <v>638</v>
      </c>
      <c r="K21">
        <v>651.29937304079999</v>
      </c>
      <c r="L21">
        <v>1119</v>
      </c>
      <c r="M21">
        <v>624.27524575509995</v>
      </c>
      <c r="N21">
        <v>408</v>
      </c>
      <c r="O21">
        <v>579.5514705882</v>
      </c>
      <c r="R21">
        <v>18</v>
      </c>
      <c r="S21">
        <v>325</v>
      </c>
      <c r="V21" t="s">
        <v>428</v>
      </c>
      <c r="W21">
        <v>1136</v>
      </c>
      <c r="X21">
        <v>858</v>
      </c>
      <c r="Y21">
        <v>291.3146853147</v>
      </c>
      <c r="Z21">
        <v>66</v>
      </c>
      <c r="AA21">
        <v>556.45454545450002</v>
      </c>
      <c r="AB21">
        <v>171</v>
      </c>
      <c r="AC21">
        <v>377.67251461990003</v>
      </c>
      <c r="AD21">
        <v>62</v>
      </c>
      <c r="AE21">
        <v>498.93548387099997</v>
      </c>
      <c r="AF21">
        <v>44</v>
      </c>
      <c r="AG21">
        <v>167.6590909091</v>
      </c>
      <c r="AH21">
        <v>1</v>
      </c>
      <c r="AI21">
        <v>298</v>
      </c>
      <c r="AL21" t="s">
        <v>428</v>
      </c>
      <c r="AM21">
        <v>12</v>
      </c>
      <c r="AN21">
        <v>9</v>
      </c>
      <c r="AO21">
        <v>193.3333333333</v>
      </c>
      <c r="AP21">
        <v>4</v>
      </c>
      <c r="AQ21">
        <v>338.5</v>
      </c>
      <c r="AR21">
        <v>2</v>
      </c>
      <c r="AS21">
        <v>94.5</v>
      </c>
      <c r="AT21">
        <v>1</v>
      </c>
      <c r="AU21">
        <v>228</v>
      </c>
    </row>
    <row r="22" spans="6:49" x14ac:dyDescent="0.2">
      <c r="F22" t="s">
        <v>67</v>
      </c>
      <c r="G22">
        <v>7116</v>
      </c>
      <c r="H22">
        <v>5273</v>
      </c>
      <c r="I22">
        <v>373.16347430309997</v>
      </c>
      <c r="J22">
        <v>347</v>
      </c>
      <c r="K22">
        <v>640.36023054760005</v>
      </c>
      <c r="L22">
        <v>1462</v>
      </c>
      <c r="M22">
        <v>760.98837209299995</v>
      </c>
      <c r="N22">
        <v>372</v>
      </c>
      <c r="O22">
        <v>585.52419354840004</v>
      </c>
      <c r="R22">
        <v>9</v>
      </c>
      <c r="S22">
        <v>661</v>
      </c>
      <c r="V22" t="s">
        <v>413</v>
      </c>
      <c r="W22">
        <v>3109</v>
      </c>
      <c r="X22">
        <v>2400</v>
      </c>
      <c r="Y22">
        <v>280.17166666669999</v>
      </c>
      <c r="Z22">
        <v>177</v>
      </c>
      <c r="AA22">
        <v>526</v>
      </c>
      <c r="AB22">
        <v>351</v>
      </c>
      <c r="AC22">
        <v>337.03988603990001</v>
      </c>
      <c r="AD22">
        <v>248</v>
      </c>
      <c r="AE22">
        <v>500.54032258059999</v>
      </c>
      <c r="AF22">
        <v>106</v>
      </c>
      <c r="AG22">
        <v>221.71698113209999</v>
      </c>
      <c r="AH22">
        <v>4</v>
      </c>
      <c r="AI22">
        <v>821.75</v>
      </c>
      <c r="AL22" t="s">
        <v>413</v>
      </c>
      <c r="AM22">
        <v>39</v>
      </c>
      <c r="AN22">
        <v>22</v>
      </c>
      <c r="AO22">
        <v>137.1818181818</v>
      </c>
      <c r="AP22">
        <v>21</v>
      </c>
      <c r="AQ22">
        <v>341.71428571429999</v>
      </c>
      <c r="AR22">
        <v>9</v>
      </c>
      <c r="AS22">
        <v>82</v>
      </c>
      <c r="AT22">
        <v>7</v>
      </c>
      <c r="AU22">
        <v>230.28571428570001</v>
      </c>
      <c r="AV22">
        <v>1</v>
      </c>
      <c r="AW22">
        <v>150</v>
      </c>
    </row>
    <row r="23" spans="6:49" x14ac:dyDescent="0.2">
      <c r="F23" t="s">
        <v>76</v>
      </c>
      <c r="G23">
        <v>5120</v>
      </c>
      <c r="H23">
        <v>4088</v>
      </c>
      <c r="I23">
        <v>263.77935420739999</v>
      </c>
      <c r="J23">
        <v>381</v>
      </c>
      <c r="K23">
        <v>456.18110236220002</v>
      </c>
      <c r="L23">
        <v>756</v>
      </c>
      <c r="M23">
        <v>384.26058201059999</v>
      </c>
      <c r="N23">
        <v>268</v>
      </c>
      <c r="O23">
        <v>440.29104477610002</v>
      </c>
      <c r="R23">
        <v>8</v>
      </c>
      <c r="S23">
        <v>295.875</v>
      </c>
      <c r="V23" t="s">
        <v>409</v>
      </c>
      <c r="W23">
        <v>5562</v>
      </c>
      <c r="X23">
        <v>3695</v>
      </c>
      <c r="Y23">
        <v>366.84248985120001</v>
      </c>
      <c r="Z23">
        <v>291</v>
      </c>
      <c r="AA23">
        <v>627.560137457</v>
      </c>
      <c r="AB23">
        <v>1498</v>
      </c>
      <c r="AC23">
        <v>553.04272363150005</v>
      </c>
      <c r="AD23">
        <v>235</v>
      </c>
      <c r="AE23">
        <v>461.27659574469999</v>
      </c>
      <c r="AF23">
        <v>128</v>
      </c>
      <c r="AG23">
        <v>155.34375</v>
      </c>
      <c r="AH23">
        <v>6</v>
      </c>
      <c r="AI23">
        <v>282.1666666667</v>
      </c>
      <c r="AL23" t="s">
        <v>409</v>
      </c>
      <c r="AM23">
        <v>60</v>
      </c>
      <c r="AN23">
        <v>43</v>
      </c>
      <c r="AO23">
        <v>405.86046511630002</v>
      </c>
      <c r="AP23">
        <v>22</v>
      </c>
      <c r="AQ23">
        <v>352</v>
      </c>
      <c r="AR23">
        <v>14</v>
      </c>
      <c r="AS23">
        <v>175.3571428571</v>
      </c>
      <c r="AT23">
        <v>2</v>
      </c>
      <c r="AU23">
        <v>61.5</v>
      </c>
      <c r="AV23">
        <v>1</v>
      </c>
      <c r="AW23">
        <v>116</v>
      </c>
    </row>
    <row r="24" spans="6:49" x14ac:dyDescent="0.2">
      <c r="F24" t="s">
        <v>48</v>
      </c>
      <c r="G24">
        <v>1407</v>
      </c>
      <c r="H24">
        <v>1089</v>
      </c>
      <c r="I24">
        <v>288.77043158859999</v>
      </c>
      <c r="J24">
        <v>79</v>
      </c>
      <c r="K24">
        <v>530.15189873420002</v>
      </c>
      <c r="L24">
        <v>241</v>
      </c>
      <c r="M24">
        <v>436.28215767630002</v>
      </c>
      <c r="N24">
        <v>75</v>
      </c>
      <c r="O24">
        <v>537.82666666670002</v>
      </c>
      <c r="R24">
        <v>2</v>
      </c>
      <c r="S24">
        <v>228.5</v>
      </c>
      <c r="V24" t="s">
        <v>426</v>
      </c>
      <c r="W24">
        <v>7234</v>
      </c>
      <c r="X24">
        <v>5266</v>
      </c>
      <c r="Y24">
        <v>374.14185339919999</v>
      </c>
      <c r="Z24">
        <v>357</v>
      </c>
      <c r="AA24">
        <v>627.40336134450001</v>
      </c>
      <c r="AB24">
        <v>1429</v>
      </c>
      <c r="AC24">
        <v>744.45416375089997</v>
      </c>
      <c r="AD24">
        <v>386</v>
      </c>
      <c r="AE24">
        <v>579.77461139900004</v>
      </c>
      <c r="AF24">
        <v>143</v>
      </c>
      <c r="AG24">
        <v>218.35664335659999</v>
      </c>
      <c r="AH24">
        <v>10</v>
      </c>
      <c r="AI24">
        <v>667.9</v>
      </c>
      <c r="AL24" t="s">
        <v>426</v>
      </c>
      <c r="AM24">
        <v>141</v>
      </c>
      <c r="AN24">
        <v>97</v>
      </c>
      <c r="AO24">
        <v>302.20618556699998</v>
      </c>
      <c r="AP24">
        <v>40</v>
      </c>
      <c r="AQ24">
        <v>335.7</v>
      </c>
      <c r="AR24">
        <v>42</v>
      </c>
      <c r="AS24">
        <v>379.38095238099999</v>
      </c>
      <c r="AT24">
        <v>2</v>
      </c>
      <c r="AU24">
        <v>190.5</v>
      </c>
    </row>
    <row r="25" spans="6:49" x14ac:dyDescent="0.2">
      <c r="F25" t="s">
        <v>69</v>
      </c>
      <c r="G25">
        <v>5511</v>
      </c>
      <c r="H25">
        <v>3731</v>
      </c>
      <c r="I25">
        <v>368.86411149830002</v>
      </c>
      <c r="J25">
        <v>290</v>
      </c>
      <c r="K25">
        <v>626.29655172410003</v>
      </c>
      <c r="L25">
        <v>1543</v>
      </c>
      <c r="M25">
        <v>558.90343486710003</v>
      </c>
      <c r="N25">
        <v>230</v>
      </c>
      <c r="O25">
        <v>469.54782608699998</v>
      </c>
      <c r="R25">
        <v>7</v>
      </c>
      <c r="S25">
        <v>308.57142857140002</v>
      </c>
      <c r="V25" t="s">
        <v>407</v>
      </c>
      <c r="W25">
        <v>18468</v>
      </c>
      <c r="X25">
        <v>14617</v>
      </c>
      <c r="Y25">
        <v>326.38523636859998</v>
      </c>
      <c r="Z25">
        <v>1674</v>
      </c>
      <c r="AA25">
        <v>515.16129032260005</v>
      </c>
      <c r="AB25">
        <v>2278</v>
      </c>
      <c r="AC25">
        <v>454.02985074629999</v>
      </c>
      <c r="AD25">
        <v>890</v>
      </c>
      <c r="AE25">
        <v>449.67415730340002</v>
      </c>
      <c r="AF25">
        <v>657</v>
      </c>
      <c r="AG25">
        <v>157.15525114159999</v>
      </c>
      <c r="AH25">
        <v>26</v>
      </c>
      <c r="AI25">
        <v>299.5</v>
      </c>
      <c r="AL25" t="s">
        <v>407</v>
      </c>
      <c r="AM25">
        <v>437</v>
      </c>
      <c r="AN25">
        <v>328</v>
      </c>
      <c r="AO25">
        <v>333.73170731710002</v>
      </c>
      <c r="AP25">
        <v>150</v>
      </c>
      <c r="AQ25">
        <v>369.55333333329997</v>
      </c>
      <c r="AR25">
        <v>92</v>
      </c>
      <c r="AS25">
        <v>198.88043478259999</v>
      </c>
      <c r="AT25">
        <v>17</v>
      </c>
      <c r="AU25">
        <v>103.70588235290001</v>
      </c>
    </row>
    <row r="26" spans="6:49" x14ac:dyDescent="0.2">
      <c r="F26" t="s">
        <v>35</v>
      </c>
      <c r="G26">
        <v>216</v>
      </c>
      <c r="H26">
        <v>93</v>
      </c>
      <c r="I26">
        <v>107.8494623656</v>
      </c>
      <c r="J26">
        <v>105</v>
      </c>
      <c r="K26">
        <v>214.1142857143</v>
      </c>
      <c r="L26">
        <v>62</v>
      </c>
      <c r="M26">
        <v>115.1451612903</v>
      </c>
      <c r="N26">
        <v>61</v>
      </c>
      <c r="O26">
        <v>410.8852459016</v>
      </c>
      <c r="V26" t="s">
        <v>405</v>
      </c>
      <c r="W26">
        <v>1920</v>
      </c>
      <c r="X26">
        <v>1426</v>
      </c>
      <c r="Y26">
        <v>293.90182328190002</v>
      </c>
      <c r="Z26">
        <v>251</v>
      </c>
      <c r="AA26">
        <v>482.49003984059999</v>
      </c>
      <c r="AB26">
        <v>306</v>
      </c>
      <c r="AC26">
        <v>285.3660130719</v>
      </c>
      <c r="AD26">
        <v>109</v>
      </c>
      <c r="AE26">
        <v>365.871559633</v>
      </c>
      <c r="AF26">
        <v>79</v>
      </c>
      <c r="AG26">
        <v>179.582278481</v>
      </c>
      <c r="AL26" t="s">
        <v>405</v>
      </c>
      <c r="AM26">
        <v>34</v>
      </c>
      <c r="AN26">
        <v>24</v>
      </c>
      <c r="AO26">
        <v>300.5416666667</v>
      </c>
      <c r="AP26">
        <v>20</v>
      </c>
      <c r="AQ26">
        <v>282.55</v>
      </c>
      <c r="AR26">
        <v>10</v>
      </c>
      <c r="AS26">
        <v>213.9</v>
      </c>
    </row>
    <row r="27" spans="6:49" x14ac:dyDescent="0.2">
      <c r="F27" t="s">
        <v>74</v>
      </c>
      <c r="G27">
        <v>4348</v>
      </c>
      <c r="H27">
        <v>3885</v>
      </c>
      <c r="I27">
        <v>216.38944658939999</v>
      </c>
      <c r="J27">
        <v>467</v>
      </c>
      <c r="K27">
        <v>390.89935760169999</v>
      </c>
      <c r="L27">
        <v>273</v>
      </c>
      <c r="M27">
        <v>162.9010989011</v>
      </c>
      <c r="N27">
        <v>184</v>
      </c>
      <c r="O27">
        <v>223.72826086960001</v>
      </c>
      <c r="R27">
        <v>6</v>
      </c>
      <c r="S27">
        <v>221</v>
      </c>
      <c r="V27" t="s">
        <v>83</v>
      </c>
      <c r="W27">
        <v>5295</v>
      </c>
      <c r="X27">
        <v>4091</v>
      </c>
      <c r="Y27">
        <v>270.54509899779998</v>
      </c>
      <c r="Z27">
        <v>385</v>
      </c>
      <c r="AA27">
        <v>465.45454545450002</v>
      </c>
      <c r="AB27">
        <v>774</v>
      </c>
      <c r="AC27">
        <v>416.28165374679998</v>
      </c>
      <c r="AD27">
        <v>279</v>
      </c>
      <c r="AE27">
        <v>448.2724014337</v>
      </c>
      <c r="AF27">
        <v>144</v>
      </c>
      <c r="AG27">
        <v>156.0138888889</v>
      </c>
      <c r="AH27">
        <v>7</v>
      </c>
      <c r="AI27">
        <v>233.8571428571</v>
      </c>
      <c r="AL27" t="s">
        <v>83</v>
      </c>
      <c r="AM27">
        <v>85</v>
      </c>
      <c r="AN27">
        <v>62</v>
      </c>
      <c r="AO27">
        <v>186.5806451613</v>
      </c>
      <c r="AP27">
        <v>44</v>
      </c>
      <c r="AQ27">
        <v>318.36363636359999</v>
      </c>
      <c r="AR27">
        <v>20</v>
      </c>
      <c r="AS27">
        <v>169.25</v>
      </c>
      <c r="AT27">
        <v>3</v>
      </c>
      <c r="AU27">
        <v>303.3333333333</v>
      </c>
    </row>
    <row r="28" spans="6:49" x14ac:dyDescent="0.2">
      <c r="F28" t="s">
        <v>34</v>
      </c>
      <c r="G28">
        <v>1730</v>
      </c>
      <c r="H28">
        <v>1325</v>
      </c>
      <c r="I28">
        <v>292.10188679250001</v>
      </c>
      <c r="J28">
        <v>254</v>
      </c>
      <c r="K28">
        <v>489.21653543309998</v>
      </c>
      <c r="L28">
        <v>301</v>
      </c>
      <c r="M28">
        <v>278.82059800659999</v>
      </c>
      <c r="N28">
        <v>104</v>
      </c>
      <c r="O28">
        <v>347.28846153849997</v>
      </c>
      <c r="V28" t="s">
        <v>404</v>
      </c>
      <c r="W28">
        <v>44019</v>
      </c>
      <c r="X28">
        <v>33089</v>
      </c>
      <c r="Y28">
        <v>324.1986158542</v>
      </c>
      <c r="Z28">
        <v>3409</v>
      </c>
      <c r="AA28">
        <v>520.57142857140002</v>
      </c>
      <c r="AB28">
        <v>7044</v>
      </c>
      <c r="AC28">
        <v>507.16254968769999</v>
      </c>
      <c r="AD28">
        <v>2426</v>
      </c>
      <c r="AE28">
        <v>483.95053586149999</v>
      </c>
      <c r="AF28">
        <v>1402</v>
      </c>
      <c r="AG28">
        <v>169.0199714693</v>
      </c>
      <c r="AH28">
        <v>58</v>
      </c>
      <c r="AI28">
        <v>390.5</v>
      </c>
      <c r="AL28" t="s">
        <v>404</v>
      </c>
      <c r="AM28">
        <v>825</v>
      </c>
      <c r="AN28">
        <v>601</v>
      </c>
      <c r="AO28">
        <v>302.68552412650001</v>
      </c>
      <c r="AP28">
        <v>309</v>
      </c>
      <c r="AQ28">
        <v>345.21682847900001</v>
      </c>
      <c r="AR28">
        <v>190</v>
      </c>
      <c r="AS28">
        <v>227.6105263158</v>
      </c>
      <c r="AT28">
        <v>32</v>
      </c>
      <c r="AU28">
        <v>156.78125</v>
      </c>
      <c r="AV28">
        <v>2</v>
      </c>
      <c r="AW28">
        <v>133</v>
      </c>
    </row>
    <row r="29" spans="6:49" x14ac:dyDescent="0.2">
      <c r="F29" t="s">
        <v>55</v>
      </c>
      <c r="G29">
        <v>4767</v>
      </c>
      <c r="H29">
        <v>3687</v>
      </c>
      <c r="I29">
        <v>327.8388934093</v>
      </c>
      <c r="J29">
        <v>572</v>
      </c>
      <c r="K29">
        <v>453.5611888112</v>
      </c>
      <c r="L29">
        <v>851</v>
      </c>
      <c r="M29">
        <v>321.23736780259998</v>
      </c>
      <c r="N29">
        <v>229</v>
      </c>
      <c r="O29">
        <v>332.92139737989999</v>
      </c>
      <c r="V29" t="s">
        <v>388</v>
      </c>
      <c r="W29">
        <v>10687</v>
      </c>
      <c r="X29">
        <v>5310</v>
      </c>
      <c r="Y29">
        <v>277.39046901490002</v>
      </c>
      <c r="Z29">
        <v>661</v>
      </c>
      <c r="AA29">
        <v>627.81089258700001</v>
      </c>
      <c r="AB29">
        <v>3645</v>
      </c>
      <c r="AC29">
        <v>809.16762688610004</v>
      </c>
      <c r="AD29">
        <v>1251</v>
      </c>
      <c r="AE29">
        <v>514.01840000000004</v>
      </c>
      <c r="AF29">
        <v>457</v>
      </c>
      <c r="AG29">
        <v>178.78993435449999</v>
      </c>
      <c r="AH29">
        <v>24</v>
      </c>
      <c r="AI29">
        <v>568.95833333329995</v>
      </c>
      <c r="AL29" t="s">
        <v>388</v>
      </c>
      <c r="AM29">
        <v>282</v>
      </c>
      <c r="AN29">
        <v>199</v>
      </c>
      <c r="AO29">
        <v>360.42713567840002</v>
      </c>
      <c r="AP29">
        <v>19</v>
      </c>
      <c r="AQ29">
        <v>678.52631578950002</v>
      </c>
      <c r="AR29">
        <v>74</v>
      </c>
      <c r="AS29">
        <v>516.72972972970001</v>
      </c>
      <c r="AT29">
        <v>9</v>
      </c>
      <c r="AU29">
        <v>123.2222222222</v>
      </c>
    </row>
    <row r="30" spans="6:49" x14ac:dyDescent="0.2">
      <c r="F30" t="s">
        <v>404</v>
      </c>
      <c r="G30">
        <v>43811</v>
      </c>
      <c r="H30">
        <v>33767</v>
      </c>
      <c r="I30">
        <v>319.91468001300001</v>
      </c>
      <c r="J30">
        <v>3559</v>
      </c>
      <c r="K30">
        <v>510.5200899129</v>
      </c>
      <c r="L30">
        <v>7270</v>
      </c>
      <c r="M30">
        <v>505.06781292980003</v>
      </c>
      <c r="N30">
        <v>2708</v>
      </c>
      <c r="O30">
        <v>492.94423929099997</v>
      </c>
      <c r="R30">
        <v>66</v>
      </c>
      <c r="S30">
        <v>377.80303030300001</v>
      </c>
      <c r="V30" t="s">
        <v>425</v>
      </c>
      <c r="W30">
        <v>30761</v>
      </c>
      <c r="X30">
        <v>26478</v>
      </c>
      <c r="Y30">
        <v>445.88865387520002</v>
      </c>
      <c r="Z30">
        <v>1236</v>
      </c>
      <c r="AA30">
        <v>719.94417475729995</v>
      </c>
      <c r="AB30">
        <v>1280</v>
      </c>
      <c r="AC30">
        <v>318.46015625000001</v>
      </c>
      <c r="AD30">
        <v>2053</v>
      </c>
      <c r="AE30">
        <v>332.4296151973</v>
      </c>
      <c r="AF30">
        <v>942</v>
      </c>
      <c r="AG30">
        <v>181.44798301489999</v>
      </c>
      <c r="AH30">
        <v>8</v>
      </c>
      <c r="AI30">
        <v>280</v>
      </c>
      <c r="AL30" t="s">
        <v>425</v>
      </c>
      <c r="AM30">
        <v>629</v>
      </c>
      <c r="AN30">
        <v>544</v>
      </c>
      <c r="AO30">
        <v>313.15625</v>
      </c>
      <c r="AP30">
        <v>132</v>
      </c>
      <c r="AQ30">
        <v>525.73484848479995</v>
      </c>
      <c r="AR30">
        <v>75</v>
      </c>
      <c r="AS30">
        <v>182.46666666670001</v>
      </c>
      <c r="AT30">
        <v>10</v>
      </c>
      <c r="AU30">
        <v>277.3</v>
      </c>
    </row>
    <row r="31" spans="6:49" x14ac:dyDescent="0.2">
      <c r="F31" t="s">
        <v>25</v>
      </c>
      <c r="G31">
        <v>17368</v>
      </c>
      <c r="H31">
        <v>15044</v>
      </c>
      <c r="I31">
        <v>542.68933652440001</v>
      </c>
      <c r="J31">
        <v>671</v>
      </c>
      <c r="K31">
        <v>924.05216095380001</v>
      </c>
      <c r="L31">
        <v>1377</v>
      </c>
      <c r="M31">
        <v>577.15613652870002</v>
      </c>
      <c r="N31">
        <v>925</v>
      </c>
      <c r="O31">
        <v>370.16125541129998</v>
      </c>
      <c r="R31">
        <v>22</v>
      </c>
      <c r="S31">
        <v>447.86363636359999</v>
      </c>
      <c r="V31" t="s">
        <v>381</v>
      </c>
      <c r="W31">
        <v>18005</v>
      </c>
      <c r="X31">
        <v>15028</v>
      </c>
      <c r="Y31">
        <v>539.80460535069994</v>
      </c>
      <c r="Z31">
        <v>701</v>
      </c>
      <c r="AA31">
        <v>910.80313837380004</v>
      </c>
      <c r="AB31">
        <v>1458</v>
      </c>
      <c r="AC31">
        <v>599.31344307270001</v>
      </c>
      <c r="AD31">
        <v>977</v>
      </c>
      <c r="AE31">
        <v>372.96516393439998</v>
      </c>
      <c r="AF31">
        <v>520</v>
      </c>
      <c r="AG31">
        <v>174.64739884389999</v>
      </c>
      <c r="AH31">
        <v>22</v>
      </c>
      <c r="AI31">
        <v>447.86363636359999</v>
      </c>
      <c r="AL31" t="s">
        <v>381</v>
      </c>
      <c r="AM31">
        <v>391</v>
      </c>
      <c r="AN31">
        <v>302</v>
      </c>
      <c r="AO31">
        <v>365.9701986755</v>
      </c>
      <c r="AP31">
        <v>88</v>
      </c>
      <c r="AQ31">
        <v>626.70454545450002</v>
      </c>
      <c r="AR31">
        <v>69</v>
      </c>
      <c r="AS31">
        <v>249.3333333333</v>
      </c>
      <c r="AT31">
        <v>19</v>
      </c>
      <c r="AU31">
        <v>189.47368421050001</v>
      </c>
      <c r="AV31">
        <v>1</v>
      </c>
      <c r="AW31">
        <v>172</v>
      </c>
    </row>
    <row r="32" spans="6:49" x14ac:dyDescent="0.2">
      <c r="F32" t="s">
        <v>42</v>
      </c>
      <c r="G32">
        <v>12768</v>
      </c>
      <c r="H32">
        <v>10087</v>
      </c>
      <c r="I32">
        <v>349.99028356140002</v>
      </c>
      <c r="J32">
        <v>334</v>
      </c>
      <c r="K32">
        <v>690.56287425150003</v>
      </c>
      <c r="L32">
        <v>1767</v>
      </c>
      <c r="M32">
        <v>524.66157328810004</v>
      </c>
      <c r="N32">
        <v>896</v>
      </c>
      <c r="O32">
        <v>554.45870535710003</v>
      </c>
      <c r="R32">
        <v>18</v>
      </c>
      <c r="S32">
        <v>565.44444444440001</v>
      </c>
      <c r="V32" t="s">
        <v>393</v>
      </c>
      <c r="W32">
        <v>3351</v>
      </c>
      <c r="X32">
        <v>2170</v>
      </c>
      <c r="Y32">
        <v>467.06082949310002</v>
      </c>
      <c r="Z32">
        <v>356</v>
      </c>
      <c r="AA32">
        <v>465.73314606740001</v>
      </c>
      <c r="AB32">
        <v>555</v>
      </c>
      <c r="AC32">
        <v>620.46486486490005</v>
      </c>
      <c r="AD32">
        <v>489</v>
      </c>
      <c r="AE32">
        <v>586.78936605319996</v>
      </c>
      <c r="AF32">
        <v>131</v>
      </c>
      <c r="AG32">
        <v>173.1450381679</v>
      </c>
      <c r="AH32">
        <v>6</v>
      </c>
      <c r="AI32">
        <v>515.33333333329995</v>
      </c>
      <c r="AL32" t="s">
        <v>393</v>
      </c>
      <c r="AM32">
        <v>141</v>
      </c>
      <c r="AN32">
        <v>115</v>
      </c>
      <c r="AO32">
        <v>447.51304347830001</v>
      </c>
      <c r="AP32">
        <v>5</v>
      </c>
      <c r="AQ32">
        <v>533</v>
      </c>
      <c r="AR32">
        <v>23</v>
      </c>
      <c r="AS32">
        <v>315.08695652170002</v>
      </c>
      <c r="AT32">
        <v>2</v>
      </c>
      <c r="AU32">
        <v>126</v>
      </c>
      <c r="AV32">
        <v>1</v>
      </c>
      <c r="AW32">
        <v>605</v>
      </c>
    </row>
    <row r="33" spans="6:49" x14ac:dyDescent="0.2">
      <c r="F33" t="s">
        <v>75</v>
      </c>
      <c r="G33">
        <v>6167</v>
      </c>
      <c r="H33">
        <v>2988</v>
      </c>
      <c r="I33">
        <v>366.19156061619998</v>
      </c>
      <c r="J33">
        <v>348</v>
      </c>
      <c r="K33">
        <v>695.49137931029998</v>
      </c>
      <c r="L33">
        <v>2150</v>
      </c>
      <c r="M33">
        <v>707.64790697670003</v>
      </c>
      <c r="N33">
        <v>1028</v>
      </c>
      <c r="O33">
        <v>960.14105058370001</v>
      </c>
      <c r="R33">
        <v>1</v>
      </c>
      <c r="S33">
        <v>1545</v>
      </c>
      <c r="V33" t="s">
        <v>384</v>
      </c>
      <c r="W33">
        <v>7108</v>
      </c>
      <c r="X33">
        <v>4424</v>
      </c>
      <c r="Y33">
        <v>269.92201627489999</v>
      </c>
      <c r="Z33">
        <v>456</v>
      </c>
      <c r="AA33">
        <v>632.20175438599995</v>
      </c>
      <c r="AB33">
        <v>1479</v>
      </c>
      <c r="AC33">
        <v>375.79242731580001</v>
      </c>
      <c r="AD33">
        <v>814</v>
      </c>
      <c r="AE33">
        <v>440.69901719900002</v>
      </c>
      <c r="AF33">
        <v>379</v>
      </c>
      <c r="AG33">
        <v>191.08707124009999</v>
      </c>
      <c r="AH33">
        <v>12</v>
      </c>
      <c r="AI33">
        <v>412.5833333333</v>
      </c>
      <c r="AL33" t="s">
        <v>384</v>
      </c>
      <c r="AM33">
        <v>253</v>
      </c>
      <c r="AN33">
        <v>191</v>
      </c>
      <c r="AO33">
        <v>289.60732984290001</v>
      </c>
      <c r="AP33">
        <v>18</v>
      </c>
      <c r="AQ33">
        <v>540.83333333329995</v>
      </c>
      <c r="AR33">
        <v>52</v>
      </c>
      <c r="AS33">
        <v>317.34615384620002</v>
      </c>
      <c r="AT33">
        <v>10</v>
      </c>
      <c r="AU33">
        <v>235.4</v>
      </c>
    </row>
    <row r="34" spans="6:49" x14ac:dyDescent="0.2">
      <c r="F34" t="s">
        <v>61</v>
      </c>
      <c r="G34">
        <v>6548</v>
      </c>
      <c r="H34">
        <v>4302</v>
      </c>
      <c r="I34">
        <v>251.31915388190001</v>
      </c>
      <c r="J34">
        <v>449</v>
      </c>
      <c r="K34">
        <v>614.24276169270001</v>
      </c>
      <c r="L34">
        <v>1424</v>
      </c>
      <c r="M34">
        <v>342.19030898879998</v>
      </c>
      <c r="N34">
        <v>811</v>
      </c>
      <c r="O34">
        <v>434.4106041924</v>
      </c>
      <c r="R34">
        <v>11</v>
      </c>
      <c r="S34">
        <v>429.36363636359999</v>
      </c>
      <c r="V34" t="s">
        <v>427</v>
      </c>
      <c r="W34">
        <v>6237</v>
      </c>
      <c r="X34">
        <v>2899</v>
      </c>
      <c r="Y34">
        <v>366.29917184269999</v>
      </c>
      <c r="Z34">
        <v>338</v>
      </c>
      <c r="AA34">
        <v>686.11834319529999</v>
      </c>
      <c r="AB34">
        <v>2086</v>
      </c>
      <c r="AC34">
        <v>707.27229146690001</v>
      </c>
      <c r="AD34">
        <v>1000</v>
      </c>
      <c r="AE34">
        <v>957.38800000000003</v>
      </c>
      <c r="AF34">
        <v>251</v>
      </c>
      <c r="AG34">
        <v>182.63346613549999</v>
      </c>
      <c r="AH34">
        <v>1</v>
      </c>
      <c r="AI34">
        <v>1545</v>
      </c>
      <c r="AL34" t="s">
        <v>427</v>
      </c>
      <c r="AM34">
        <v>139</v>
      </c>
      <c r="AN34">
        <v>101</v>
      </c>
      <c r="AO34">
        <v>278.18811881189998</v>
      </c>
      <c r="AP34">
        <v>23</v>
      </c>
      <c r="AQ34">
        <v>507.95652173910003</v>
      </c>
      <c r="AR34">
        <v>29</v>
      </c>
      <c r="AS34">
        <v>286.5862068966</v>
      </c>
      <c r="AT34">
        <v>8</v>
      </c>
      <c r="AU34">
        <v>172.375</v>
      </c>
      <c r="AV34">
        <v>1</v>
      </c>
      <c r="AW34">
        <v>2</v>
      </c>
    </row>
    <row r="35" spans="6:49" x14ac:dyDescent="0.2">
      <c r="F35" t="s">
        <v>56</v>
      </c>
      <c r="G35">
        <v>4847</v>
      </c>
      <c r="H35">
        <v>3268</v>
      </c>
      <c r="I35">
        <v>494.84516523870002</v>
      </c>
      <c r="J35">
        <v>486</v>
      </c>
      <c r="K35">
        <v>500.31275720159999</v>
      </c>
      <c r="L35">
        <v>864</v>
      </c>
      <c r="M35">
        <v>604.63541666670005</v>
      </c>
      <c r="N35">
        <v>707</v>
      </c>
      <c r="O35">
        <v>599.48514851489995</v>
      </c>
      <c r="R35">
        <v>8</v>
      </c>
      <c r="S35">
        <v>587.5</v>
      </c>
      <c r="V35" t="s">
        <v>383</v>
      </c>
      <c r="W35">
        <v>13045</v>
      </c>
      <c r="X35">
        <v>9985</v>
      </c>
      <c r="Y35">
        <v>353.35777243590002</v>
      </c>
      <c r="Z35">
        <v>346</v>
      </c>
      <c r="AA35">
        <v>686.23988439310006</v>
      </c>
      <c r="AB35">
        <v>1768</v>
      </c>
      <c r="AC35">
        <v>526.48529411760001</v>
      </c>
      <c r="AD35">
        <v>898</v>
      </c>
      <c r="AE35">
        <v>548.46325167040004</v>
      </c>
      <c r="AF35">
        <v>375</v>
      </c>
      <c r="AG35">
        <v>174.89839572189999</v>
      </c>
      <c r="AH35">
        <v>19</v>
      </c>
      <c r="AI35">
        <v>602.89473684209997</v>
      </c>
      <c r="AL35" t="s">
        <v>383</v>
      </c>
      <c r="AM35">
        <v>180</v>
      </c>
      <c r="AN35">
        <v>143</v>
      </c>
      <c r="AO35">
        <v>289.27972027969997</v>
      </c>
      <c r="AP35">
        <v>29</v>
      </c>
      <c r="AQ35">
        <v>361.89655172409999</v>
      </c>
      <c r="AR35">
        <v>32</v>
      </c>
      <c r="AS35">
        <v>212.78125</v>
      </c>
      <c r="AT35">
        <v>4</v>
      </c>
      <c r="AU35">
        <v>366</v>
      </c>
      <c r="AV35">
        <v>1</v>
      </c>
      <c r="AW35">
        <v>4</v>
      </c>
    </row>
    <row r="36" spans="6:49" x14ac:dyDescent="0.2">
      <c r="F36" t="s">
        <v>60</v>
      </c>
      <c r="G36">
        <v>10270</v>
      </c>
      <c r="H36">
        <v>5271</v>
      </c>
      <c r="I36">
        <v>269.02485768499997</v>
      </c>
      <c r="J36">
        <v>673</v>
      </c>
      <c r="K36">
        <v>630.66419019320006</v>
      </c>
      <c r="L36">
        <v>3718</v>
      </c>
      <c r="M36">
        <v>811.22404518559995</v>
      </c>
      <c r="N36">
        <v>1257</v>
      </c>
      <c r="O36">
        <v>509.84474522289997</v>
      </c>
      <c r="R36">
        <v>24</v>
      </c>
      <c r="S36">
        <v>568.95833333329995</v>
      </c>
      <c r="V36" t="s">
        <v>380</v>
      </c>
      <c r="W36">
        <v>89194</v>
      </c>
      <c r="X36">
        <v>66294</v>
      </c>
      <c r="Y36">
        <v>425.21511005169998</v>
      </c>
      <c r="Z36">
        <v>4094</v>
      </c>
      <c r="AA36">
        <v>700.22936003910002</v>
      </c>
      <c r="AB36">
        <v>12271</v>
      </c>
      <c r="AC36">
        <v>614.22826175540001</v>
      </c>
      <c r="AD36">
        <v>7482</v>
      </c>
      <c r="AE36">
        <v>505.9614973262</v>
      </c>
      <c r="AF36">
        <v>3055</v>
      </c>
      <c r="AG36">
        <v>180.02947920080001</v>
      </c>
      <c r="AH36">
        <v>92</v>
      </c>
      <c r="AI36">
        <v>508.59782608699999</v>
      </c>
      <c r="AL36" t="s">
        <v>380</v>
      </c>
      <c r="AM36">
        <v>2015</v>
      </c>
      <c r="AN36">
        <v>1595</v>
      </c>
      <c r="AO36">
        <v>331.56614420059998</v>
      </c>
      <c r="AP36">
        <v>314</v>
      </c>
      <c r="AQ36">
        <v>547.82484076430001</v>
      </c>
      <c r="AR36">
        <v>354</v>
      </c>
      <c r="AS36">
        <v>305.07344632770003</v>
      </c>
      <c r="AT36">
        <v>62</v>
      </c>
      <c r="AU36">
        <v>208.564516129</v>
      </c>
      <c r="AV36">
        <v>4</v>
      </c>
      <c r="AW36">
        <v>195.75</v>
      </c>
    </row>
    <row r="37" spans="6:49" x14ac:dyDescent="0.2">
      <c r="F37" t="s">
        <v>80</v>
      </c>
      <c r="G37">
        <v>29996</v>
      </c>
      <c r="H37">
        <v>26908</v>
      </c>
      <c r="I37">
        <v>445.76845313310002</v>
      </c>
      <c r="J37">
        <v>1187</v>
      </c>
      <c r="K37">
        <v>720.30412805389994</v>
      </c>
      <c r="L37">
        <v>1097</v>
      </c>
      <c r="M37">
        <v>244.92433910669999</v>
      </c>
      <c r="N37">
        <v>1986</v>
      </c>
      <c r="O37">
        <v>313.37009063440001</v>
      </c>
      <c r="R37">
        <v>5</v>
      </c>
      <c r="S37">
        <v>219.2</v>
      </c>
      <c r="V37" t="s">
        <v>406</v>
      </c>
      <c r="W37">
        <v>567</v>
      </c>
      <c r="X37">
        <v>310</v>
      </c>
      <c r="Y37">
        <v>111.3161290323</v>
      </c>
      <c r="Z37">
        <v>230</v>
      </c>
      <c r="AA37">
        <v>220.4260869565</v>
      </c>
      <c r="AB37">
        <v>99</v>
      </c>
      <c r="AC37">
        <v>185.03030303029999</v>
      </c>
      <c r="AD37">
        <v>102</v>
      </c>
      <c r="AE37">
        <v>212.5196078431</v>
      </c>
      <c r="AF37">
        <v>53</v>
      </c>
      <c r="AG37">
        <v>159.73584905659999</v>
      </c>
      <c r="AH37">
        <v>3</v>
      </c>
      <c r="AI37">
        <v>340</v>
      </c>
      <c r="AL37" t="s">
        <v>406</v>
      </c>
      <c r="AM37">
        <v>24</v>
      </c>
      <c r="AN37">
        <v>18</v>
      </c>
      <c r="AO37">
        <v>88.055555555599994</v>
      </c>
      <c r="AP37">
        <v>10</v>
      </c>
      <c r="AQ37">
        <v>234.2</v>
      </c>
      <c r="AR37">
        <v>6</v>
      </c>
      <c r="AS37">
        <v>217.3333333333</v>
      </c>
    </row>
    <row r="38" spans="6:49" x14ac:dyDescent="0.2">
      <c r="F38" t="s">
        <v>380</v>
      </c>
      <c r="G38">
        <v>87964</v>
      </c>
      <c r="H38">
        <v>67868</v>
      </c>
      <c r="I38">
        <v>425.82550839959998</v>
      </c>
      <c r="J38">
        <v>4148</v>
      </c>
      <c r="K38">
        <v>696.98722275800003</v>
      </c>
      <c r="L38">
        <v>12397</v>
      </c>
      <c r="M38">
        <v>608.03105590059999</v>
      </c>
      <c r="N38">
        <v>7610</v>
      </c>
      <c r="O38">
        <v>507.97975814929998</v>
      </c>
      <c r="R38">
        <v>89</v>
      </c>
      <c r="S38">
        <v>514.04494382020005</v>
      </c>
      <c r="V38" t="s">
        <v>410</v>
      </c>
      <c r="W38">
        <v>40521</v>
      </c>
      <c r="X38">
        <v>28730</v>
      </c>
      <c r="Y38">
        <v>451.22812391230002</v>
      </c>
      <c r="Z38">
        <v>2293</v>
      </c>
      <c r="AA38">
        <v>710.58264282599998</v>
      </c>
      <c r="AB38">
        <v>8262</v>
      </c>
      <c r="AC38">
        <v>739.97276688449995</v>
      </c>
      <c r="AD38">
        <v>2336</v>
      </c>
      <c r="AE38">
        <v>552.57797772070001</v>
      </c>
      <c r="AF38">
        <v>1128</v>
      </c>
      <c r="AG38">
        <v>186.26773049650001</v>
      </c>
      <c r="AH38">
        <v>65</v>
      </c>
      <c r="AI38">
        <v>474.03076923079999</v>
      </c>
      <c r="AL38" t="s">
        <v>410</v>
      </c>
      <c r="AM38">
        <v>750</v>
      </c>
      <c r="AN38">
        <v>534</v>
      </c>
      <c r="AO38">
        <v>420.75655430709998</v>
      </c>
      <c r="AP38">
        <v>209</v>
      </c>
      <c r="AQ38">
        <v>516.73684210529996</v>
      </c>
      <c r="AR38">
        <v>184</v>
      </c>
      <c r="AS38">
        <v>409</v>
      </c>
      <c r="AT38">
        <v>32</v>
      </c>
      <c r="AU38">
        <v>409.125</v>
      </c>
    </row>
    <row r="39" spans="6:49" x14ac:dyDescent="0.2">
      <c r="F39" t="s">
        <v>82</v>
      </c>
      <c r="G39">
        <v>19615</v>
      </c>
      <c r="H39">
        <v>14697</v>
      </c>
      <c r="I39">
        <v>397.29917670269998</v>
      </c>
      <c r="J39">
        <v>1074</v>
      </c>
      <c r="K39">
        <v>695.00558659219996</v>
      </c>
      <c r="L39">
        <v>3798</v>
      </c>
      <c r="M39">
        <v>786.12743549239997</v>
      </c>
      <c r="N39">
        <v>1083</v>
      </c>
      <c r="O39">
        <v>527.90674053550003</v>
      </c>
      <c r="R39">
        <v>37</v>
      </c>
      <c r="S39">
        <v>508.81081081079998</v>
      </c>
      <c r="V39" t="s">
        <v>418</v>
      </c>
      <c r="W39">
        <v>400</v>
      </c>
      <c r="X39">
        <v>187</v>
      </c>
      <c r="Y39">
        <v>157.52406417110001</v>
      </c>
      <c r="Z39">
        <v>101</v>
      </c>
      <c r="AA39">
        <v>231.10891089110001</v>
      </c>
      <c r="AB39">
        <v>127</v>
      </c>
      <c r="AC39">
        <v>297.9448818898</v>
      </c>
      <c r="AD39">
        <v>62</v>
      </c>
      <c r="AE39">
        <v>405.5</v>
      </c>
      <c r="AF39">
        <v>23</v>
      </c>
      <c r="AG39">
        <v>267</v>
      </c>
      <c r="AH39">
        <v>1</v>
      </c>
      <c r="AI39">
        <v>690</v>
      </c>
      <c r="AL39" t="s">
        <v>418</v>
      </c>
      <c r="AM39">
        <v>7</v>
      </c>
      <c r="AN39">
        <v>6</v>
      </c>
      <c r="AO39">
        <v>179.5</v>
      </c>
      <c r="AP39">
        <v>3</v>
      </c>
      <c r="AQ39">
        <v>157.3333333333</v>
      </c>
      <c r="AR39">
        <v>1</v>
      </c>
      <c r="AS39">
        <v>110</v>
      </c>
    </row>
    <row r="40" spans="6:49" x14ac:dyDescent="0.2">
      <c r="F40" t="s">
        <v>43</v>
      </c>
      <c r="G40">
        <v>6199</v>
      </c>
      <c r="H40">
        <v>3429</v>
      </c>
      <c r="I40">
        <v>249.14289880429999</v>
      </c>
      <c r="J40">
        <v>207</v>
      </c>
      <c r="K40">
        <v>519.6763285024</v>
      </c>
      <c r="L40">
        <v>2406</v>
      </c>
      <c r="M40">
        <v>699.53283458019996</v>
      </c>
      <c r="N40">
        <v>360</v>
      </c>
      <c r="O40">
        <v>410.60555555560001</v>
      </c>
      <c r="R40">
        <v>4</v>
      </c>
      <c r="S40">
        <v>326.75</v>
      </c>
      <c r="V40" t="s">
        <v>421</v>
      </c>
      <c r="W40">
        <v>344</v>
      </c>
      <c r="X40">
        <v>249</v>
      </c>
      <c r="Y40">
        <v>284.8995983936</v>
      </c>
      <c r="Z40">
        <v>35</v>
      </c>
      <c r="AA40">
        <v>510.34285714290002</v>
      </c>
      <c r="AB40">
        <v>37</v>
      </c>
      <c r="AC40">
        <v>504.27027027029999</v>
      </c>
      <c r="AD40">
        <v>29</v>
      </c>
      <c r="AE40">
        <v>355.55172413790001</v>
      </c>
      <c r="AF40">
        <v>28</v>
      </c>
      <c r="AG40">
        <v>186.28571428570001</v>
      </c>
      <c r="AH40">
        <v>1</v>
      </c>
      <c r="AI40">
        <v>400</v>
      </c>
      <c r="AL40" t="s">
        <v>421</v>
      </c>
      <c r="AM40">
        <v>8</v>
      </c>
      <c r="AN40">
        <v>2</v>
      </c>
      <c r="AO40">
        <v>460.5</v>
      </c>
      <c r="AR40">
        <v>6</v>
      </c>
      <c r="AS40">
        <v>188</v>
      </c>
    </row>
    <row r="41" spans="6:49" x14ac:dyDescent="0.2">
      <c r="F41" t="s">
        <v>49</v>
      </c>
      <c r="G41">
        <v>19977</v>
      </c>
      <c r="H41">
        <v>14225</v>
      </c>
      <c r="I41">
        <v>510.89427065029997</v>
      </c>
      <c r="J41">
        <v>1240</v>
      </c>
      <c r="K41">
        <v>741.40887096769995</v>
      </c>
      <c r="L41">
        <v>4505</v>
      </c>
      <c r="M41">
        <v>705.39356270810003</v>
      </c>
      <c r="N41">
        <v>1221</v>
      </c>
      <c r="O41">
        <v>584.99097620999999</v>
      </c>
      <c r="R41">
        <v>26</v>
      </c>
      <c r="S41">
        <v>444.07692307690002</v>
      </c>
      <c r="V41" t="s">
        <v>411</v>
      </c>
      <c r="W41">
        <v>5300</v>
      </c>
      <c r="X41">
        <v>4081</v>
      </c>
      <c r="Y41">
        <v>481.05758392550001</v>
      </c>
      <c r="Z41">
        <v>242</v>
      </c>
      <c r="AA41">
        <v>747.2768595041</v>
      </c>
      <c r="AB41">
        <v>523</v>
      </c>
      <c r="AC41">
        <v>278.08221797319999</v>
      </c>
      <c r="AD41">
        <v>475</v>
      </c>
      <c r="AE41">
        <v>586.4484210526</v>
      </c>
      <c r="AF41">
        <v>218</v>
      </c>
      <c r="AG41">
        <v>204.99082568809999</v>
      </c>
      <c r="AH41">
        <v>3</v>
      </c>
      <c r="AI41">
        <v>184</v>
      </c>
      <c r="AL41" t="s">
        <v>411</v>
      </c>
      <c r="AM41">
        <v>186</v>
      </c>
      <c r="AN41">
        <v>148</v>
      </c>
      <c r="AO41">
        <v>421.81081081079998</v>
      </c>
      <c r="AP41">
        <v>9</v>
      </c>
      <c r="AQ41">
        <v>851.2222222222</v>
      </c>
      <c r="AR41">
        <v>33</v>
      </c>
      <c r="AS41">
        <v>306.21212121209999</v>
      </c>
      <c r="AT41">
        <v>5</v>
      </c>
      <c r="AU41">
        <v>401.6</v>
      </c>
    </row>
    <row r="42" spans="6:49" x14ac:dyDescent="0.2">
      <c r="F42" t="s">
        <v>52</v>
      </c>
      <c r="G42">
        <v>4580</v>
      </c>
      <c r="H42">
        <v>3042</v>
      </c>
      <c r="I42">
        <v>302.18113083499998</v>
      </c>
      <c r="J42">
        <v>329</v>
      </c>
      <c r="K42">
        <v>562.83586626140004</v>
      </c>
      <c r="L42">
        <v>984</v>
      </c>
      <c r="M42">
        <v>398.31504065040002</v>
      </c>
      <c r="N42">
        <v>546</v>
      </c>
      <c r="O42">
        <v>595.03479853479996</v>
      </c>
      <c r="R42">
        <v>8</v>
      </c>
      <c r="S42">
        <v>535.5</v>
      </c>
      <c r="V42" t="s">
        <v>403</v>
      </c>
      <c r="W42">
        <v>6341</v>
      </c>
      <c r="X42">
        <v>3425</v>
      </c>
      <c r="Y42">
        <v>257.76116788320002</v>
      </c>
      <c r="Z42">
        <v>198</v>
      </c>
      <c r="AA42">
        <v>544.41919191919999</v>
      </c>
      <c r="AB42">
        <v>2301</v>
      </c>
      <c r="AC42">
        <v>688.84658843980003</v>
      </c>
      <c r="AD42">
        <v>362</v>
      </c>
      <c r="AE42">
        <v>426.04419889500002</v>
      </c>
      <c r="AF42">
        <v>249</v>
      </c>
      <c r="AG42">
        <v>193.46586345380001</v>
      </c>
      <c r="AH42">
        <v>4</v>
      </c>
      <c r="AI42">
        <v>326.75</v>
      </c>
      <c r="AL42" t="s">
        <v>403</v>
      </c>
      <c r="AM42">
        <v>116</v>
      </c>
      <c r="AN42">
        <v>64</v>
      </c>
      <c r="AO42">
        <v>242.234375</v>
      </c>
      <c r="AP42">
        <v>26</v>
      </c>
      <c r="AQ42">
        <v>253.19230769230001</v>
      </c>
      <c r="AR42">
        <v>50</v>
      </c>
      <c r="AS42">
        <v>649.98</v>
      </c>
      <c r="AT42">
        <v>2</v>
      </c>
      <c r="AU42">
        <v>178</v>
      </c>
    </row>
    <row r="43" spans="6:49" x14ac:dyDescent="0.2">
      <c r="F43" t="s">
        <v>39</v>
      </c>
      <c r="G43">
        <v>297</v>
      </c>
      <c r="H43">
        <v>240</v>
      </c>
      <c r="I43">
        <v>289.19583333330002</v>
      </c>
      <c r="J43">
        <v>36</v>
      </c>
      <c r="K43">
        <v>528.11111111109994</v>
      </c>
      <c r="L43">
        <v>25</v>
      </c>
      <c r="M43">
        <v>413.6</v>
      </c>
      <c r="N43">
        <v>31</v>
      </c>
      <c r="O43">
        <v>341.4838709677</v>
      </c>
      <c r="R43">
        <v>1</v>
      </c>
      <c r="S43">
        <v>400</v>
      </c>
      <c r="V43" t="s">
        <v>412</v>
      </c>
      <c r="W43">
        <v>4693</v>
      </c>
      <c r="X43">
        <v>2686</v>
      </c>
      <c r="Y43">
        <v>182.69471332840001</v>
      </c>
      <c r="Z43">
        <v>486</v>
      </c>
      <c r="AA43">
        <v>319.7325102881</v>
      </c>
      <c r="AB43">
        <v>1137</v>
      </c>
      <c r="AC43">
        <v>234.0052770449</v>
      </c>
      <c r="AD43">
        <v>581</v>
      </c>
      <c r="AE43">
        <v>319.63683304649999</v>
      </c>
      <c r="AF43">
        <v>285</v>
      </c>
      <c r="AG43">
        <v>186.46666666670001</v>
      </c>
      <c r="AH43">
        <v>4</v>
      </c>
      <c r="AI43">
        <v>238.5</v>
      </c>
      <c r="AL43" t="s">
        <v>412</v>
      </c>
      <c r="AM43">
        <v>104</v>
      </c>
      <c r="AN43">
        <v>72</v>
      </c>
      <c r="AO43">
        <v>176.1527777778</v>
      </c>
      <c r="AP43">
        <v>42</v>
      </c>
      <c r="AQ43">
        <v>219.61904761900001</v>
      </c>
      <c r="AR43">
        <v>25</v>
      </c>
      <c r="AS43">
        <v>144.24</v>
      </c>
      <c r="AT43">
        <v>6</v>
      </c>
      <c r="AU43">
        <v>273.6666666667</v>
      </c>
      <c r="AV43">
        <v>1</v>
      </c>
      <c r="AW43">
        <v>136</v>
      </c>
    </row>
    <row r="44" spans="6:49" x14ac:dyDescent="0.2">
      <c r="F44" t="s">
        <v>27</v>
      </c>
      <c r="G44">
        <v>4355</v>
      </c>
      <c r="H44">
        <v>2626</v>
      </c>
      <c r="I44">
        <v>172.04226961160001</v>
      </c>
      <c r="J44">
        <v>494</v>
      </c>
      <c r="K44">
        <v>319.3724696356</v>
      </c>
      <c r="L44">
        <v>1131</v>
      </c>
      <c r="M44">
        <v>226.6737400531</v>
      </c>
      <c r="N44">
        <v>594</v>
      </c>
      <c r="O44">
        <v>312.19696969699999</v>
      </c>
      <c r="R44">
        <v>4</v>
      </c>
      <c r="S44">
        <v>238.5</v>
      </c>
      <c r="V44" t="s">
        <v>387</v>
      </c>
      <c r="W44">
        <v>5858</v>
      </c>
      <c r="X44">
        <v>4745</v>
      </c>
      <c r="Y44">
        <v>432.6</v>
      </c>
      <c r="Z44">
        <v>445</v>
      </c>
      <c r="AA44">
        <v>651.77752808989999</v>
      </c>
      <c r="AB44">
        <v>541</v>
      </c>
      <c r="AC44">
        <v>409.17005545289999</v>
      </c>
      <c r="AD44">
        <v>384</v>
      </c>
      <c r="AE44">
        <v>436.3307291667</v>
      </c>
      <c r="AF44">
        <v>174</v>
      </c>
      <c r="AG44">
        <v>192.0229885057</v>
      </c>
      <c r="AH44">
        <v>14</v>
      </c>
      <c r="AI44">
        <v>376.42857142859998</v>
      </c>
      <c r="AL44" t="s">
        <v>387</v>
      </c>
      <c r="AM44">
        <v>198</v>
      </c>
      <c r="AN44">
        <v>159</v>
      </c>
      <c r="AO44">
        <v>397.72327044029998</v>
      </c>
      <c r="AP44">
        <v>9</v>
      </c>
      <c r="AQ44">
        <v>623.55555555559999</v>
      </c>
      <c r="AR44">
        <v>38</v>
      </c>
      <c r="AS44">
        <v>248.44736842110001</v>
      </c>
      <c r="AT44">
        <v>1</v>
      </c>
      <c r="AU44">
        <v>110</v>
      </c>
    </row>
    <row r="45" spans="6:49" x14ac:dyDescent="0.2">
      <c r="F45" t="s">
        <v>54</v>
      </c>
      <c r="G45">
        <v>5234</v>
      </c>
      <c r="H45">
        <v>4216</v>
      </c>
      <c r="I45">
        <v>482.88021821630002</v>
      </c>
      <c r="J45">
        <v>241</v>
      </c>
      <c r="K45">
        <v>753.11203319499998</v>
      </c>
      <c r="L45">
        <v>527</v>
      </c>
      <c r="M45">
        <v>263.98102466789999</v>
      </c>
      <c r="N45">
        <v>487</v>
      </c>
      <c r="O45">
        <v>606.26283367559995</v>
      </c>
      <c r="R45">
        <v>4</v>
      </c>
      <c r="S45">
        <v>240.75</v>
      </c>
      <c r="V45" t="s">
        <v>389</v>
      </c>
      <c r="W45">
        <v>4814</v>
      </c>
      <c r="X45">
        <v>3104</v>
      </c>
      <c r="Y45">
        <v>311.05283505149998</v>
      </c>
      <c r="Z45">
        <v>341</v>
      </c>
      <c r="AA45">
        <v>569.10263929619998</v>
      </c>
      <c r="AB45">
        <v>990</v>
      </c>
      <c r="AC45">
        <v>410.87070707070001</v>
      </c>
      <c r="AD45">
        <v>550</v>
      </c>
      <c r="AE45">
        <v>602.07454545450003</v>
      </c>
      <c r="AF45">
        <v>162</v>
      </c>
      <c r="AG45">
        <v>230.91358024690001</v>
      </c>
      <c r="AH45">
        <v>8</v>
      </c>
      <c r="AI45">
        <v>535.5</v>
      </c>
      <c r="AL45" t="s">
        <v>389</v>
      </c>
      <c r="AM45">
        <v>172</v>
      </c>
      <c r="AN45">
        <v>128</v>
      </c>
      <c r="AO45">
        <v>343.109375</v>
      </c>
      <c r="AP45">
        <v>5</v>
      </c>
      <c r="AQ45">
        <v>444.8</v>
      </c>
      <c r="AR45">
        <v>42</v>
      </c>
      <c r="AS45">
        <v>372.02380952380003</v>
      </c>
      <c r="AT45">
        <v>2</v>
      </c>
      <c r="AU45">
        <v>387.5</v>
      </c>
    </row>
    <row r="46" spans="6:49" x14ac:dyDescent="0.2">
      <c r="F46" t="s">
        <v>62</v>
      </c>
      <c r="G46">
        <v>5719</v>
      </c>
      <c r="H46">
        <v>4777</v>
      </c>
      <c r="I46">
        <v>433.60226083319998</v>
      </c>
      <c r="J46">
        <v>444</v>
      </c>
      <c r="K46">
        <v>645.48423423420002</v>
      </c>
      <c r="L46">
        <v>539</v>
      </c>
      <c r="M46">
        <v>381.86270871990001</v>
      </c>
      <c r="N46">
        <v>389</v>
      </c>
      <c r="O46">
        <v>443.38303341900001</v>
      </c>
      <c r="R46">
        <v>14</v>
      </c>
      <c r="S46">
        <v>376.42857142859998</v>
      </c>
      <c r="V46" t="s">
        <v>385</v>
      </c>
      <c r="W46">
        <v>68838</v>
      </c>
      <c r="X46">
        <v>47517</v>
      </c>
      <c r="Y46">
        <v>409.40358187599998</v>
      </c>
      <c r="Z46">
        <v>4371</v>
      </c>
      <c r="AA46">
        <v>606.13109128350004</v>
      </c>
      <c r="AB46">
        <v>14017</v>
      </c>
      <c r="AC46">
        <v>628.74580866090002</v>
      </c>
      <c r="AD46">
        <v>4881</v>
      </c>
      <c r="AE46">
        <v>505.02930928469999</v>
      </c>
      <c r="AF46">
        <v>2320</v>
      </c>
      <c r="AG46">
        <v>192.56767241380001</v>
      </c>
      <c r="AH46">
        <v>103</v>
      </c>
      <c r="AI46">
        <v>439.6990291262</v>
      </c>
      <c r="AL46" t="s">
        <v>385</v>
      </c>
      <c r="AM46">
        <v>1565</v>
      </c>
      <c r="AN46">
        <v>1131</v>
      </c>
      <c r="AO46">
        <v>376.69053934570002</v>
      </c>
      <c r="AP46">
        <v>313</v>
      </c>
      <c r="AQ46">
        <v>454.04472843449997</v>
      </c>
      <c r="AR46">
        <v>385</v>
      </c>
      <c r="AS46">
        <v>387.20519480519999</v>
      </c>
      <c r="AT46">
        <v>48</v>
      </c>
      <c r="AU46">
        <v>374.6458333333</v>
      </c>
      <c r="AV46">
        <v>1</v>
      </c>
      <c r="AW46">
        <v>136</v>
      </c>
    </row>
    <row r="47" spans="6:49" x14ac:dyDescent="0.2">
      <c r="F47" t="s">
        <v>184</v>
      </c>
      <c r="G47">
        <v>324</v>
      </c>
      <c r="H47">
        <v>147</v>
      </c>
      <c r="I47">
        <v>83.571428571400006</v>
      </c>
      <c r="J47">
        <v>98</v>
      </c>
      <c r="K47">
        <v>222.83673469390001</v>
      </c>
      <c r="L47">
        <v>115</v>
      </c>
      <c r="M47">
        <v>277.33913043479998</v>
      </c>
      <c r="N47">
        <v>61</v>
      </c>
      <c r="O47">
        <v>399.37704918029999</v>
      </c>
      <c r="R47">
        <v>1</v>
      </c>
      <c r="S47">
        <v>690</v>
      </c>
      <c r="V47" t="s">
        <v>416</v>
      </c>
      <c r="W47">
        <v>435</v>
      </c>
      <c r="X47">
        <v>293</v>
      </c>
      <c r="Y47">
        <v>259.91467576790001</v>
      </c>
      <c r="Z47">
        <v>41</v>
      </c>
      <c r="AA47">
        <v>358.34146341460001</v>
      </c>
      <c r="AB47">
        <v>45</v>
      </c>
      <c r="AC47">
        <v>388.4</v>
      </c>
      <c r="AD47">
        <v>72</v>
      </c>
      <c r="AE47">
        <v>278.9722222222</v>
      </c>
      <c r="AF47">
        <v>23</v>
      </c>
      <c r="AG47">
        <v>170.4347826087</v>
      </c>
      <c r="AH47">
        <v>2</v>
      </c>
      <c r="AI47">
        <v>179</v>
      </c>
      <c r="AL47" t="s">
        <v>416</v>
      </c>
      <c r="AM47">
        <v>25</v>
      </c>
      <c r="AN47">
        <v>24</v>
      </c>
      <c r="AO47">
        <v>183.7916666667</v>
      </c>
      <c r="AP47">
        <v>5</v>
      </c>
      <c r="AQ47">
        <v>302</v>
      </c>
      <c r="AR47">
        <v>1</v>
      </c>
      <c r="AS47">
        <v>96</v>
      </c>
    </row>
    <row r="48" spans="6:49" x14ac:dyDescent="0.2">
      <c r="F48" t="s">
        <v>73</v>
      </c>
      <c r="G48">
        <v>571</v>
      </c>
      <c r="H48">
        <v>365</v>
      </c>
      <c r="I48">
        <v>98.463013698599994</v>
      </c>
      <c r="J48">
        <v>244</v>
      </c>
      <c r="K48">
        <v>207.84016393440001</v>
      </c>
      <c r="L48">
        <v>92</v>
      </c>
      <c r="M48">
        <v>139.22826086960001</v>
      </c>
      <c r="N48">
        <v>112</v>
      </c>
      <c r="O48">
        <v>187.9196428571</v>
      </c>
      <c r="R48">
        <v>2</v>
      </c>
      <c r="S48">
        <v>143.5</v>
      </c>
      <c r="V48" t="s">
        <v>417</v>
      </c>
      <c r="W48">
        <v>133</v>
      </c>
      <c r="X48">
        <v>80</v>
      </c>
      <c r="Y48">
        <v>180.3125</v>
      </c>
      <c r="Z48">
        <v>50</v>
      </c>
      <c r="AA48">
        <v>316.62</v>
      </c>
      <c r="AB48">
        <v>13</v>
      </c>
      <c r="AC48">
        <v>81.307692307699995</v>
      </c>
      <c r="AD48">
        <v>24</v>
      </c>
      <c r="AE48">
        <v>343.75</v>
      </c>
      <c r="AF48">
        <v>15</v>
      </c>
      <c r="AG48">
        <v>150.13333333329999</v>
      </c>
      <c r="AH48">
        <v>1</v>
      </c>
      <c r="AI48">
        <v>122</v>
      </c>
      <c r="AL48" t="s">
        <v>417</v>
      </c>
      <c r="AM48">
        <v>12</v>
      </c>
      <c r="AN48">
        <v>11</v>
      </c>
      <c r="AO48">
        <v>164.2727272727</v>
      </c>
      <c r="AP48">
        <v>1</v>
      </c>
      <c r="AQ48">
        <v>242</v>
      </c>
      <c r="AT48">
        <v>1</v>
      </c>
      <c r="AU48">
        <v>562</v>
      </c>
    </row>
    <row r="49" spans="6:51" x14ac:dyDescent="0.2">
      <c r="F49" t="s">
        <v>385</v>
      </c>
      <c r="G49">
        <v>66871</v>
      </c>
      <c r="H49">
        <v>47764</v>
      </c>
      <c r="I49">
        <v>409.44389079640001</v>
      </c>
      <c r="J49">
        <v>4407</v>
      </c>
      <c r="K49">
        <v>607.20603585209994</v>
      </c>
      <c r="L49">
        <v>14122</v>
      </c>
      <c r="M49">
        <v>629.85986404189998</v>
      </c>
      <c r="N49">
        <v>4884</v>
      </c>
      <c r="O49">
        <v>505.26423596889998</v>
      </c>
      <c r="R49">
        <v>101</v>
      </c>
      <c r="S49">
        <v>440.86138613859998</v>
      </c>
      <c r="V49" t="s">
        <v>423</v>
      </c>
      <c r="W49">
        <v>599</v>
      </c>
      <c r="X49">
        <v>362</v>
      </c>
      <c r="Y49">
        <v>361.18508287290001</v>
      </c>
      <c r="Z49">
        <v>46</v>
      </c>
      <c r="AA49">
        <v>543.63043478259999</v>
      </c>
      <c r="AB49">
        <v>133</v>
      </c>
      <c r="AC49">
        <v>447.51879699249997</v>
      </c>
      <c r="AD49">
        <v>72</v>
      </c>
      <c r="AE49">
        <v>566.375</v>
      </c>
      <c r="AF49">
        <v>32</v>
      </c>
      <c r="AG49">
        <v>139.53125</v>
      </c>
      <c r="AL49" t="s">
        <v>423</v>
      </c>
      <c r="AM49">
        <v>19</v>
      </c>
      <c r="AN49">
        <v>15</v>
      </c>
      <c r="AO49">
        <v>266.93333333330003</v>
      </c>
      <c r="AP49">
        <v>3</v>
      </c>
      <c r="AQ49">
        <v>368.3333333333</v>
      </c>
      <c r="AR49">
        <v>1</v>
      </c>
      <c r="AS49">
        <v>110</v>
      </c>
      <c r="AT49">
        <v>1</v>
      </c>
      <c r="AU49">
        <v>537</v>
      </c>
      <c r="AV49">
        <v>1</v>
      </c>
      <c r="AW49">
        <v>421</v>
      </c>
      <c r="AX49">
        <v>1</v>
      </c>
      <c r="AY49">
        <v>376</v>
      </c>
    </row>
    <row r="50" spans="6:51" x14ac:dyDescent="0.2">
      <c r="F50" t="s">
        <v>215</v>
      </c>
      <c r="G50">
        <v>1953</v>
      </c>
      <c r="H50">
        <v>1369</v>
      </c>
      <c r="I50">
        <v>326.0715850986</v>
      </c>
      <c r="J50">
        <v>658</v>
      </c>
      <c r="K50">
        <v>380.23252279640002</v>
      </c>
      <c r="L50">
        <v>499</v>
      </c>
      <c r="M50">
        <v>329.89979959919998</v>
      </c>
      <c r="N50">
        <v>85</v>
      </c>
      <c r="O50">
        <v>257.29411764709999</v>
      </c>
      <c r="V50" t="s">
        <v>376</v>
      </c>
      <c r="W50">
        <v>5657</v>
      </c>
      <c r="X50">
        <v>4416</v>
      </c>
      <c r="Y50">
        <v>539.53577898549997</v>
      </c>
      <c r="Z50">
        <v>248</v>
      </c>
      <c r="AA50">
        <v>910.04838709679996</v>
      </c>
      <c r="AB50">
        <v>898</v>
      </c>
      <c r="AC50">
        <v>825.19821826279997</v>
      </c>
      <c r="AD50">
        <v>263</v>
      </c>
      <c r="AE50">
        <v>635.37262357409998</v>
      </c>
      <c r="AF50">
        <v>77</v>
      </c>
      <c r="AG50">
        <v>162.61038961040001</v>
      </c>
      <c r="AH50">
        <v>3</v>
      </c>
      <c r="AI50">
        <v>659</v>
      </c>
      <c r="AL50" t="s">
        <v>376</v>
      </c>
      <c r="AM50">
        <v>91</v>
      </c>
      <c r="AN50">
        <v>75</v>
      </c>
      <c r="AO50">
        <v>254.54666666669999</v>
      </c>
      <c r="AP50">
        <v>9</v>
      </c>
      <c r="AQ50">
        <v>384.3333333333</v>
      </c>
      <c r="AR50">
        <v>14</v>
      </c>
      <c r="AS50">
        <v>210.8571428571</v>
      </c>
      <c r="AT50">
        <v>2</v>
      </c>
      <c r="AU50">
        <v>463</v>
      </c>
    </row>
    <row r="51" spans="6:51" x14ac:dyDescent="0.2">
      <c r="F51" t="s">
        <v>212</v>
      </c>
      <c r="G51">
        <v>2759</v>
      </c>
      <c r="H51">
        <v>2158</v>
      </c>
      <c r="I51">
        <v>411.8540315107</v>
      </c>
      <c r="J51">
        <v>155</v>
      </c>
      <c r="K51">
        <v>712.58709677419995</v>
      </c>
      <c r="L51">
        <v>547</v>
      </c>
      <c r="M51">
        <v>393.61243144420001</v>
      </c>
      <c r="N51">
        <v>54</v>
      </c>
      <c r="O51">
        <v>242.74074074070001</v>
      </c>
      <c r="V51" t="s">
        <v>63</v>
      </c>
      <c r="W51">
        <v>5416</v>
      </c>
      <c r="X51">
        <v>3629</v>
      </c>
      <c r="Y51">
        <v>257.21961972999998</v>
      </c>
      <c r="Z51">
        <v>762</v>
      </c>
      <c r="AA51">
        <v>429.80183727029998</v>
      </c>
      <c r="AB51">
        <v>880</v>
      </c>
      <c r="AC51">
        <v>314.68977272730001</v>
      </c>
      <c r="AD51">
        <v>636</v>
      </c>
      <c r="AE51">
        <v>603.1981132075</v>
      </c>
      <c r="AF51">
        <v>236</v>
      </c>
      <c r="AG51">
        <v>184.9449152542</v>
      </c>
      <c r="AH51">
        <v>35</v>
      </c>
      <c r="AI51">
        <v>584.45714285710005</v>
      </c>
      <c r="AL51" t="s">
        <v>63</v>
      </c>
      <c r="AM51">
        <v>260</v>
      </c>
      <c r="AN51">
        <v>208</v>
      </c>
      <c r="AO51">
        <v>269</v>
      </c>
      <c r="AP51">
        <v>32</v>
      </c>
      <c r="AQ51">
        <v>396.125</v>
      </c>
      <c r="AR51">
        <v>43</v>
      </c>
      <c r="AS51">
        <v>237.3023255814</v>
      </c>
      <c r="AT51">
        <v>9</v>
      </c>
      <c r="AU51">
        <v>120.6666666667</v>
      </c>
    </row>
    <row r="52" spans="6:51" x14ac:dyDescent="0.2">
      <c r="F52" t="s">
        <v>213</v>
      </c>
      <c r="G52">
        <v>2918</v>
      </c>
      <c r="H52">
        <v>2387</v>
      </c>
      <c r="I52">
        <v>283.29074151650002</v>
      </c>
      <c r="J52">
        <v>507</v>
      </c>
      <c r="K52">
        <v>450.45364891520001</v>
      </c>
      <c r="L52">
        <v>423</v>
      </c>
      <c r="M52">
        <v>222.16075650120001</v>
      </c>
      <c r="N52">
        <v>107</v>
      </c>
      <c r="O52">
        <v>232.37383177570001</v>
      </c>
      <c r="R52">
        <v>1</v>
      </c>
      <c r="S52">
        <v>376</v>
      </c>
      <c r="V52" t="s">
        <v>378</v>
      </c>
      <c r="W52">
        <v>15010</v>
      </c>
      <c r="X52">
        <v>10178</v>
      </c>
      <c r="Y52">
        <v>363.60076643410002</v>
      </c>
      <c r="Z52">
        <v>646</v>
      </c>
      <c r="AA52">
        <v>785.36068111459997</v>
      </c>
      <c r="AB52">
        <v>3739</v>
      </c>
      <c r="AC52">
        <v>805.26718373899996</v>
      </c>
      <c r="AD52">
        <v>760</v>
      </c>
      <c r="AE52">
        <v>541.85</v>
      </c>
      <c r="AF52">
        <v>327</v>
      </c>
      <c r="AG52">
        <v>173.7920489297</v>
      </c>
      <c r="AH52">
        <v>6</v>
      </c>
      <c r="AI52">
        <v>225.3333333333</v>
      </c>
      <c r="AL52" t="s">
        <v>378</v>
      </c>
      <c r="AM52">
        <v>171</v>
      </c>
      <c r="AN52">
        <v>140</v>
      </c>
      <c r="AO52">
        <v>233.57857142859999</v>
      </c>
      <c r="AP52">
        <v>29</v>
      </c>
      <c r="AQ52">
        <v>399.68965517240002</v>
      </c>
      <c r="AR52">
        <v>20</v>
      </c>
      <c r="AS52">
        <v>201.15</v>
      </c>
      <c r="AT52">
        <v>11</v>
      </c>
      <c r="AU52">
        <v>206.45454545449999</v>
      </c>
    </row>
    <row r="53" spans="6:51" x14ac:dyDescent="0.2">
      <c r="F53" t="s">
        <v>462</v>
      </c>
      <c r="G53">
        <v>7630</v>
      </c>
      <c r="H53">
        <v>5914</v>
      </c>
      <c r="I53">
        <v>340.10618870479999</v>
      </c>
      <c r="J53">
        <v>1320</v>
      </c>
      <c r="K53">
        <v>446.23030303029998</v>
      </c>
      <c r="L53">
        <v>1469</v>
      </c>
      <c r="M53">
        <v>322.6004084411</v>
      </c>
      <c r="N53">
        <v>246</v>
      </c>
      <c r="O53">
        <v>243.2601626016</v>
      </c>
      <c r="R53">
        <v>1</v>
      </c>
      <c r="S53">
        <v>376</v>
      </c>
      <c r="V53" t="s">
        <v>374</v>
      </c>
      <c r="W53">
        <v>4171</v>
      </c>
      <c r="X53">
        <v>2921</v>
      </c>
      <c r="Y53">
        <v>324.14138993500001</v>
      </c>
      <c r="Z53">
        <v>397</v>
      </c>
      <c r="AA53">
        <v>531.31234256929997</v>
      </c>
      <c r="AB53">
        <v>541</v>
      </c>
      <c r="AC53">
        <v>296.17375231049999</v>
      </c>
      <c r="AD53">
        <v>554</v>
      </c>
      <c r="AE53">
        <v>502.52346570399999</v>
      </c>
      <c r="AF53">
        <v>150</v>
      </c>
      <c r="AG53">
        <v>221.84</v>
      </c>
      <c r="AH53">
        <v>5</v>
      </c>
      <c r="AI53">
        <v>613.20000000000005</v>
      </c>
      <c r="AL53" t="s">
        <v>374</v>
      </c>
      <c r="AM53">
        <v>183</v>
      </c>
      <c r="AN53">
        <v>149</v>
      </c>
      <c r="AO53">
        <v>213.6241610738</v>
      </c>
      <c r="AP53">
        <v>30</v>
      </c>
      <c r="AQ53">
        <v>299.5</v>
      </c>
      <c r="AR53">
        <v>27</v>
      </c>
      <c r="AS53">
        <v>233.2962962963</v>
      </c>
      <c r="AT53">
        <v>6</v>
      </c>
      <c r="AU53">
        <v>308.3333333333</v>
      </c>
      <c r="AV53">
        <v>1</v>
      </c>
      <c r="AW53">
        <v>290</v>
      </c>
    </row>
    <row r="54" spans="6:51" x14ac:dyDescent="0.2">
      <c r="F54" t="s">
        <v>81</v>
      </c>
      <c r="G54">
        <v>397</v>
      </c>
      <c r="H54">
        <v>293</v>
      </c>
      <c r="I54">
        <v>209.27645051190001</v>
      </c>
      <c r="J54">
        <v>45</v>
      </c>
      <c r="K54">
        <v>326.86666666669998</v>
      </c>
      <c r="L54">
        <v>35</v>
      </c>
      <c r="M54">
        <v>321.82857142860001</v>
      </c>
      <c r="N54">
        <v>67</v>
      </c>
      <c r="O54">
        <v>255.17910447759999</v>
      </c>
      <c r="R54">
        <v>2</v>
      </c>
      <c r="S54">
        <v>179</v>
      </c>
      <c r="V54" t="s">
        <v>373</v>
      </c>
      <c r="W54">
        <v>1069</v>
      </c>
      <c r="X54">
        <v>653</v>
      </c>
      <c r="Y54">
        <v>191.48545176109999</v>
      </c>
      <c r="Z54">
        <v>129</v>
      </c>
      <c r="AA54">
        <v>332.53488372089998</v>
      </c>
      <c r="AB54">
        <v>159</v>
      </c>
      <c r="AC54">
        <v>224.44654088050001</v>
      </c>
      <c r="AD54">
        <v>164</v>
      </c>
      <c r="AE54">
        <v>294.86585365849999</v>
      </c>
      <c r="AF54">
        <v>92</v>
      </c>
      <c r="AG54">
        <v>166.16304347830001</v>
      </c>
      <c r="AH54">
        <v>1</v>
      </c>
      <c r="AI54">
        <v>138</v>
      </c>
      <c r="AL54" t="s">
        <v>373</v>
      </c>
      <c r="AM54">
        <v>54</v>
      </c>
      <c r="AN54">
        <v>48</v>
      </c>
      <c r="AO54">
        <v>233.7916666667</v>
      </c>
      <c r="AP54">
        <v>9</v>
      </c>
      <c r="AQ54">
        <v>305.7777777778</v>
      </c>
      <c r="AR54">
        <v>6</v>
      </c>
      <c r="AS54">
        <v>169.3333333333</v>
      </c>
    </row>
    <row r="55" spans="6:51" x14ac:dyDescent="0.2">
      <c r="F55" t="s">
        <v>38</v>
      </c>
      <c r="G55">
        <v>3281</v>
      </c>
      <c r="H55">
        <v>2149</v>
      </c>
      <c r="I55">
        <v>444.81657355679999</v>
      </c>
      <c r="J55">
        <v>297</v>
      </c>
      <c r="K55">
        <v>622.38383838380003</v>
      </c>
      <c r="L55">
        <v>798</v>
      </c>
      <c r="M55">
        <v>576.18922305759997</v>
      </c>
      <c r="N55">
        <v>321</v>
      </c>
      <c r="O55">
        <v>630.4517133956</v>
      </c>
      <c r="R55">
        <v>13</v>
      </c>
      <c r="S55">
        <v>164.23076923080001</v>
      </c>
      <c r="V55" t="s">
        <v>375</v>
      </c>
      <c r="W55">
        <v>7065</v>
      </c>
      <c r="X55">
        <v>4840</v>
      </c>
      <c r="Y55">
        <v>386.50516528930001</v>
      </c>
      <c r="Z55">
        <v>446</v>
      </c>
      <c r="AA55">
        <v>460.52466367710002</v>
      </c>
      <c r="AB55">
        <v>958</v>
      </c>
      <c r="AC55">
        <v>457.87995824630002</v>
      </c>
      <c r="AD55">
        <v>968</v>
      </c>
      <c r="AE55">
        <v>650.86880165289995</v>
      </c>
      <c r="AF55">
        <v>292</v>
      </c>
      <c r="AG55">
        <v>180.5890410959</v>
      </c>
      <c r="AH55">
        <v>7</v>
      </c>
      <c r="AI55">
        <v>532.57142857140002</v>
      </c>
      <c r="AL55" t="s">
        <v>375</v>
      </c>
      <c r="AM55">
        <v>271</v>
      </c>
      <c r="AN55">
        <v>217</v>
      </c>
      <c r="AO55">
        <v>260.32258064519999</v>
      </c>
      <c r="AP55">
        <v>37</v>
      </c>
      <c r="AQ55">
        <v>344.67567567570001</v>
      </c>
      <c r="AR55">
        <v>38</v>
      </c>
      <c r="AS55">
        <v>220.76315789469999</v>
      </c>
      <c r="AT55">
        <v>15</v>
      </c>
      <c r="AU55">
        <v>316.39999999999998</v>
      </c>
      <c r="AV55">
        <v>1</v>
      </c>
      <c r="AW55">
        <v>3</v>
      </c>
    </row>
    <row r="56" spans="6:51" x14ac:dyDescent="0.2">
      <c r="F56" t="s">
        <v>64</v>
      </c>
      <c r="G56">
        <v>2649</v>
      </c>
      <c r="H56">
        <v>2024</v>
      </c>
      <c r="I56">
        <v>338.35968379449997</v>
      </c>
      <c r="J56">
        <v>276</v>
      </c>
      <c r="K56">
        <v>605.17391304349997</v>
      </c>
      <c r="L56">
        <v>246</v>
      </c>
      <c r="M56">
        <v>94.7642276423</v>
      </c>
      <c r="N56">
        <v>376</v>
      </c>
      <c r="O56">
        <v>443.70212765960002</v>
      </c>
      <c r="R56">
        <v>3</v>
      </c>
      <c r="S56">
        <v>678</v>
      </c>
      <c r="V56" t="s">
        <v>372</v>
      </c>
      <c r="W56">
        <v>360</v>
      </c>
      <c r="X56">
        <v>173</v>
      </c>
      <c r="Y56">
        <v>134.93641618500001</v>
      </c>
      <c r="Z56">
        <v>70</v>
      </c>
      <c r="AA56">
        <v>205.6428571429</v>
      </c>
      <c r="AB56">
        <v>87</v>
      </c>
      <c r="AC56">
        <v>163.68965517239999</v>
      </c>
      <c r="AD56">
        <v>46</v>
      </c>
      <c r="AE56">
        <v>223.6086956522</v>
      </c>
      <c r="AF56">
        <v>52</v>
      </c>
      <c r="AG56">
        <v>202.6538461538</v>
      </c>
      <c r="AH56">
        <v>2</v>
      </c>
      <c r="AI56">
        <v>89.5</v>
      </c>
      <c r="AL56" t="s">
        <v>372</v>
      </c>
      <c r="AM56">
        <v>22</v>
      </c>
      <c r="AN56">
        <v>15</v>
      </c>
      <c r="AO56">
        <v>267.39999999999998</v>
      </c>
      <c r="AP56">
        <v>5</v>
      </c>
      <c r="AQ56">
        <v>315.60000000000002</v>
      </c>
      <c r="AR56">
        <v>5</v>
      </c>
      <c r="AS56">
        <v>221.6</v>
      </c>
      <c r="AT56">
        <v>2</v>
      </c>
      <c r="AU56">
        <v>104</v>
      </c>
    </row>
    <row r="57" spans="6:51" x14ac:dyDescent="0.2">
      <c r="F57" t="s">
        <v>24</v>
      </c>
      <c r="G57">
        <v>1863</v>
      </c>
      <c r="H57">
        <v>1148</v>
      </c>
      <c r="I57">
        <v>188.5322299652</v>
      </c>
      <c r="J57">
        <v>367</v>
      </c>
      <c r="K57">
        <v>315.14168937329998</v>
      </c>
      <c r="L57">
        <v>498</v>
      </c>
      <c r="M57">
        <v>333.13253012050001</v>
      </c>
      <c r="N57">
        <v>201</v>
      </c>
      <c r="O57">
        <v>495.32338308459998</v>
      </c>
      <c r="R57">
        <v>16</v>
      </c>
      <c r="S57">
        <v>592.25</v>
      </c>
      <c r="V57" t="s">
        <v>371</v>
      </c>
      <c r="W57">
        <v>3445</v>
      </c>
      <c r="X57">
        <v>2089</v>
      </c>
      <c r="Y57">
        <v>430.62739463600002</v>
      </c>
      <c r="Z57">
        <v>335</v>
      </c>
      <c r="AA57">
        <v>536.45074626869996</v>
      </c>
      <c r="AB57">
        <v>826</v>
      </c>
      <c r="AC57">
        <v>530.69249394669998</v>
      </c>
      <c r="AD57">
        <v>361</v>
      </c>
      <c r="AE57">
        <v>576.21606648199997</v>
      </c>
      <c r="AF57">
        <v>154</v>
      </c>
      <c r="AG57">
        <v>160.8441558442</v>
      </c>
      <c r="AH57">
        <v>15</v>
      </c>
      <c r="AI57">
        <v>169</v>
      </c>
      <c r="AL57" t="s">
        <v>371</v>
      </c>
      <c r="AM57">
        <v>116</v>
      </c>
      <c r="AN57">
        <v>96</v>
      </c>
      <c r="AO57">
        <v>294.3541666667</v>
      </c>
      <c r="AP57">
        <v>14</v>
      </c>
      <c r="AQ57">
        <v>349</v>
      </c>
      <c r="AR57">
        <v>17</v>
      </c>
      <c r="AS57">
        <v>195.70588235290001</v>
      </c>
      <c r="AT57">
        <v>3</v>
      </c>
      <c r="AU57">
        <v>255</v>
      </c>
    </row>
    <row r="58" spans="6:51" x14ac:dyDescent="0.2">
      <c r="F58" t="s">
        <v>72</v>
      </c>
      <c r="G58">
        <v>15247</v>
      </c>
      <c r="H58">
        <v>10484</v>
      </c>
      <c r="I58">
        <v>354.65553753699999</v>
      </c>
      <c r="J58">
        <v>652</v>
      </c>
      <c r="K58">
        <v>785.21932515339995</v>
      </c>
      <c r="L58">
        <v>3987</v>
      </c>
      <c r="M58">
        <v>816.36894908449995</v>
      </c>
      <c r="N58">
        <v>770</v>
      </c>
      <c r="O58">
        <v>535.86363636359999</v>
      </c>
      <c r="R58">
        <v>6</v>
      </c>
      <c r="S58">
        <v>225.3333333333</v>
      </c>
      <c r="V58" t="s">
        <v>415</v>
      </c>
      <c r="W58">
        <v>675</v>
      </c>
      <c r="X58">
        <v>522</v>
      </c>
      <c r="Y58">
        <v>283.53448275860001</v>
      </c>
      <c r="Z58">
        <v>68</v>
      </c>
      <c r="AA58">
        <v>612.77941176469994</v>
      </c>
      <c r="AB58">
        <v>80</v>
      </c>
      <c r="AC58">
        <v>191.77500000000001</v>
      </c>
      <c r="AD58">
        <v>44</v>
      </c>
      <c r="AE58">
        <v>313.5681818182</v>
      </c>
      <c r="AF58">
        <v>29</v>
      </c>
      <c r="AG58">
        <v>244.37931034479999</v>
      </c>
      <c r="AL58" t="s">
        <v>415</v>
      </c>
      <c r="AM58">
        <v>12</v>
      </c>
      <c r="AN58">
        <v>11</v>
      </c>
      <c r="AO58">
        <v>360.8181818182</v>
      </c>
      <c r="AP58">
        <v>6</v>
      </c>
      <c r="AQ58">
        <v>240.8333333333</v>
      </c>
      <c r="AR58">
        <v>1</v>
      </c>
      <c r="AS58">
        <v>411</v>
      </c>
    </row>
    <row r="59" spans="6:51" x14ac:dyDescent="0.2">
      <c r="F59" t="s">
        <v>47</v>
      </c>
      <c r="G59">
        <v>921</v>
      </c>
      <c r="H59">
        <v>619</v>
      </c>
      <c r="I59">
        <v>173.76090468500001</v>
      </c>
      <c r="J59">
        <v>130</v>
      </c>
      <c r="K59">
        <v>309.40769230770002</v>
      </c>
      <c r="L59">
        <v>148</v>
      </c>
      <c r="M59">
        <v>182.92567567570001</v>
      </c>
      <c r="N59">
        <v>153</v>
      </c>
      <c r="O59">
        <v>265.9803921569</v>
      </c>
      <c r="R59">
        <v>1</v>
      </c>
      <c r="S59">
        <v>138</v>
      </c>
      <c r="V59" t="s">
        <v>379</v>
      </c>
      <c r="W59">
        <v>2315</v>
      </c>
      <c r="X59">
        <v>1472</v>
      </c>
      <c r="Y59">
        <v>374.91440217389999</v>
      </c>
      <c r="Z59">
        <v>240</v>
      </c>
      <c r="AA59">
        <v>391.38333333330002</v>
      </c>
      <c r="AB59">
        <v>174</v>
      </c>
      <c r="AC59">
        <v>273.65517241380002</v>
      </c>
      <c r="AD59">
        <v>529</v>
      </c>
      <c r="AE59">
        <v>471.92234848480001</v>
      </c>
      <c r="AF59">
        <v>137</v>
      </c>
      <c r="AG59">
        <v>163.63503649640001</v>
      </c>
      <c r="AH59">
        <v>3</v>
      </c>
      <c r="AI59">
        <v>630.66666666670005</v>
      </c>
      <c r="AL59" t="s">
        <v>379</v>
      </c>
      <c r="AM59">
        <v>48</v>
      </c>
      <c r="AN59">
        <v>33</v>
      </c>
      <c r="AO59">
        <v>262.15151515150001</v>
      </c>
      <c r="AP59">
        <v>4</v>
      </c>
      <c r="AQ59">
        <v>209</v>
      </c>
      <c r="AR59">
        <v>13</v>
      </c>
      <c r="AS59">
        <v>179.69230769230001</v>
      </c>
      <c r="AT59">
        <v>2</v>
      </c>
      <c r="AU59">
        <v>137.5</v>
      </c>
    </row>
    <row r="60" spans="6:51" x14ac:dyDescent="0.2">
      <c r="F60" t="s">
        <v>63</v>
      </c>
      <c r="G60">
        <v>3197</v>
      </c>
      <c r="H60">
        <v>2374</v>
      </c>
      <c r="I60">
        <v>271.70556023590001</v>
      </c>
      <c r="J60">
        <v>396</v>
      </c>
      <c r="K60">
        <v>539.06060606059998</v>
      </c>
      <c r="L60">
        <v>354</v>
      </c>
      <c r="M60">
        <v>250.55084745760001</v>
      </c>
      <c r="N60">
        <v>448</v>
      </c>
      <c r="O60">
        <v>652.66517857140002</v>
      </c>
      <c r="R60">
        <v>21</v>
      </c>
      <c r="S60">
        <v>567.76190476190004</v>
      </c>
      <c r="V60" t="s">
        <v>382</v>
      </c>
      <c r="W60">
        <v>10174</v>
      </c>
      <c r="X60">
        <v>7335</v>
      </c>
      <c r="Y60">
        <v>261.87143830949998</v>
      </c>
      <c r="Z60">
        <v>1035</v>
      </c>
      <c r="AA60">
        <v>491.11980676330001</v>
      </c>
      <c r="AB60">
        <v>1241</v>
      </c>
      <c r="AC60">
        <v>227.61966156330001</v>
      </c>
      <c r="AD60">
        <v>1008</v>
      </c>
      <c r="AE60">
        <v>357.51686507940002</v>
      </c>
      <c r="AF60">
        <v>573</v>
      </c>
      <c r="AG60">
        <v>170.54720279719999</v>
      </c>
      <c r="AH60">
        <v>17</v>
      </c>
      <c r="AI60">
        <v>316.4705882353</v>
      </c>
      <c r="AL60" t="s">
        <v>382</v>
      </c>
      <c r="AM60">
        <v>227</v>
      </c>
      <c r="AN60">
        <v>186</v>
      </c>
      <c r="AO60">
        <v>258.54838709680001</v>
      </c>
      <c r="AP60">
        <v>36</v>
      </c>
      <c r="AQ60">
        <v>347.55555555559999</v>
      </c>
      <c r="AR60">
        <v>27</v>
      </c>
      <c r="AS60">
        <v>271.6296296296</v>
      </c>
      <c r="AT60">
        <v>12</v>
      </c>
      <c r="AU60">
        <v>203.5833333333</v>
      </c>
      <c r="AV60">
        <v>2</v>
      </c>
      <c r="AW60">
        <v>335</v>
      </c>
    </row>
    <row r="61" spans="6:51" x14ac:dyDescent="0.2">
      <c r="F61" t="s">
        <v>36</v>
      </c>
      <c r="G61">
        <v>5703</v>
      </c>
      <c r="H61">
        <v>4490</v>
      </c>
      <c r="I61">
        <v>561.64342984409996</v>
      </c>
      <c r="J61">
        <v>249</v>
      </c>
      <c r="K61">
        <v>947.7911646586</v>
      </c>
      <c r="L61">
        <v>940</v>
      </c>
      <c r="M61">
        <v>824.36595744680005</v>
      </c>
      <c r="N61">
        <v>269</v>
      </c>
      <c r="O61">
        <v>667.53159851299995</v>
      </c>
      <c r="R61">
        <v>4</v>
      </c>
      <c r="S61">
        <v>721.75</v>
      </c>
      <c r="V61" t="s">
        <v>414</v>
      </c>
      <c r="W61">
        <v>601</v>
      </c>
      <c r="X61">
        <v>382</v>
      </c>
      <c r="Y61">
        <v>376.43717277489998</v>
      </c>
      <c r="Z61">
        <v>20</v>
      </c>
      <c r="AA61">
        <v>775.8</v>
      </c>
      <c r="AB61">
        <v>170</v>
      </c>
      <c r="AC61">
        <v>855.06470588239995</v>
      </c>
      <c r="AD61">
        <v>39</v>
      </c>
      <c r="AE61">
        <v>567.58974358969999</v>
      </c>
      <c r="AF61">
        <v>10</v>
      </c>
      <c r="AG61">
        <v>196.9</v>
      </c>
      <c r="AL61" t="s">
        <v>414</v>
      </c>
      <c r="AM61">
        <v>16</v>
      </c>
      <c r="AN61">
        <v>14</v>
      </c>
      <c r="AO61">
        <v>302.35714285709997</v>
      </c>
      <c r="AP61">
        <v>1</v>
      </c>
      <c r="AQ61">
        <v>194</v>
      </c>
      <c r="AR61">
        <v>2</v>
      </c>
      <c r="AS61">
        <v>167</v>
      </c>
    </row>
    <row r="62" spans="6:51" x14ac:dyDescent="0.2">
      <c r="F62" t="s">
        <v>50</v>
      </c>
      <c r="G62">
        <v>1957</v>
      </c>
      <c r="H62">
        <v>1300</v>
      </c>
      <c r="I62">
        <v>347.98153846150001</v>
      </c>
      <c r="J62">
        <v>243</v>
      </c>
      <c r="K62">
        <v>377.66255144029998</v>
      </c>
      <c r="L62">
        <v>153</v>
      </c>
      <c r="M62">
        <v>171.60784313729999</v>
      </c>
      <c r="N62">
        <v>501</v>
      </c>
      <c r="O62">
        <v>442.548</v>
      </c>
      <c r="R62">
        <v>3</v>
      </c>
      <c r="S62">
        <v>630.66666666670005</v>
      </c>
      <c r="V62" t="s">
        <v>369</v>
      </c>
      <c r="W62">
        <v>57125</v>
      </c>
      <c r="X62">
        <v>39345</v>
      </c>
      <c r="Y62">
        <v>352.4712147015</v>
      </c>
      <c r="Z62">
        <v>4533</v>
      </c>
      <c r="AA62">
        <v>535.81028016769994</v>
      </c>
      <c r="AB62">
        <v>9944</v>
      </c>
      <c r="AC62">
        <v>571.68724859209999</v>
      </c>
      <c r="AD62">
        <v>5540</v>
      </c>
      <c r="AE62">
        <v>514.93771438889996</v>
      </c>
      <c r="AF62">
        <v>2199</v>
      </c>
      <c r="AG62">
        <v>177.09963603279999</v>
      </c>
      <c r="AH62">
        <v>97</v>
      </c>
      <c r="AI62">
        <v>424.56701030929997</v>
      </c>
      <c r="AL62" t="s">
        <v>369</v>
      </c>
      <c r="AM62">
        <v>1527</v>
      </c>
      <c r="AN62">
        <v>1242</v>
      </c>
      <c r="AO62">
        <v>253.3977455717</v>
      </c>
      <c r="AP62">
        <v>221</v>
      </c>
      <c r="AQ62">
        <v>346.26244343889999</v>
      </c>
      <c r="AR62">
        <v>215</v>
      </c>
      <c r="AS62">
        <v>222.9720930233</v>
      </c>
      <c r="AT62">
        <v>64</v>
      </c>
      <c r="AU62">
        <v>244.828125</v>
      </c>
      <c r="AV62">
        <v>5</v>
      </c>
      <c r="AW62">
        <v>276.8</v>
      </c>
      <c r="AX62">
        <v>1</v>
      </c>
      <c r="AY62">
        <v>376</v>
      </c>
    </row>
    <row r="63" spans="6:51" x14ac:dyDescent="0.2">
      <c r="F63" t="s">
        <v>57</v>
      </c>
      <c r="G63">
        <v>613</v>
      </c>
      <c r="H63">
        <v>492</v>
      </c>
      <c r="I63">
        <v>263.29471544720002</v>
      </c>
      <c r="J63">
        <v>64</v>
      </c>
      <c r="K63">
        <v>608.34375</v>
      </c>
      <c r="L63">
        <v>74</v>
      </c>
      <c r="M63">
        <v>101.2837837838</v>
      </c>
      <c r="N63">
        <v>47</v>
      </c>
      <c r="O63">
        <v>271.02127659569999</v>
      </c>
      <c r="V63" t="s">
        <v>698</v>
      </c>
      <c r="W63">
        <v>317758</v>
      </c>
      <c r="X63">
        <v>228400</v>
      </c>
      <c r="Y63">
        <v>397.75198126010002</v>
      </c>
      <c r="Z63">
        <v>20626</v>
      </c>
      <c r="AA63">
        <v>584.66648889750002</v>
      </c>
      <c r="AB63">
        <v>53187</v>
      </c>
      <c r="AC63">
        <v>619.37960403859995</v>
      </c>
      <c r="AD63">
        <v>24811</v>
      </c>
      <c r="AE63">
        <v>519.53495122150002</v>
      </c>
      <c r="AF63">
        <v>10920</v>
      </c>
      <c r="AG63">
        <v>181.345699368</v>
      </c>
      <c r="AH63">
        <v>440</v>
      </c>
      <c r="AI63">
        <v>456.39090909089998</v>
      </c>
      <c r="AL63" t="s">
        <v>698</v>
      </c>
      <c r="AM63">
        <v>7645</v>
      </c>
      <c r="AN63">
        <v>5914</v>
      </c>
      <c r="AO63">
        <v>340.10618870479999</v>
      </c>
      <c r="AP63">
        <v>1320</v>
      </c>
      <c r="AQ63">
        <v>446.23030303029998</v>
      </c>
      <c r="AR63">
        <v>1469</v>
      </c>
      <c r="AS63">
        <v>322.6004084411</v>
      </c>
      <c r="AT63">
        <v>246</v>
      </c>
      <c r="AU63">
        <v>243.2601626016</v>
      </c>
      <c r="AV63">
        <v>15</v>
      </c>
      <c r="AW63">
        <v>180.3333333333</v>
      </c>
      <c r="AX63">
        <v>1</v>
      </c>
      <c r="AY63">
        <v>376</v>
      </c>
    </row>
    <row r="64" spans="6:51" x14ac:dyDescent="0.2">
      <c r="F64" t="s">
        <v>68</v>
      </c>
      <c r="G64">
        <v>5034</v>
      </c>
      <c r="H64">
        <v>3890</v>
      </c>
      <c r="I64">
        <v>564.90796915169994</v>
      </c>
      <c r="J64">
        <v>142</v>
      </c>
      <c r="K64">
        <v>1026.0845070422999</v>
      </c>
      <c r="L64">
        <v>229</v>
      </c>
      <c r="M64">
        <v>667.28384279479997</v>
      </c>
      <c r="N64">
        <v>913</v>
      </c>
      <c r="O64">
        <v>870.6462212486</v>
      </c>
      <c r="R64">
        <v>2</v>
      </c>
      <c r="S64">
        <v>800</v>
      </c>
    </row>
    <row r="65" spans="6:19" x14ac:dyDescent="0.2">
      <c r="F65" t="s">
        <v>70</v>
      </c>
      <c r="G65">
        <v>495</v>
      </c>
      <c r="H65">
        <v>261</v>
      </c>
      <c r="I65">
        <v>100.2988505747</v>
      </c>
      <c r="J65">
        <v>128</v>
      </c>
      <c r="K65">
        <v>204.7890625</v>
      </c>
      <c r="L65">
        <v>141</v>
      </c>
      <c r="M65">
        <v>135.134751773</v>
      </c>
      <c r="N65">
        <v>88</v>
      </c>
      <c r="O65">
        <v>199.5909090909</v>
      </c>
      <c r="R65">
        <v>5</v>
      </c>
      <c r="S65">
        <v>140.19999999999999</v>
      </c>
    </row>
    <row r="66" spans="6:19" x14ac:dyDescent="0.2">
      <c r="F66" t="s">
        <v>85</v>
      </c>
      <c r="G66">
        <v>183</v>
      </c>
      <c r="H66">
        <v>48</v>
      </c>
      <c r="I66">
        <v>1087.6875</v>
      </c>
      <c r="J66">
        <v>10</v>
      </c>
      <c r="K66">
        <v>1227</v>
      </c>
      <c r="L66">
        <v>71</v>
      </c>
      <c r="M66">
        <v>630.21126760560003</v>
      </c>
      <c r="N66">
        <v>64</v>
      </c>
      <c r="O66">
        <v>614.578125</v>
      </c>
    </row>
    <row r="67" spans="6:19" x14ac:dyDescent="0.2">
      <c r="F67" t="s">
        <v>66</v>
      </c>
      <c r="G67">
        <v>5501</v>
      </c>
      <c r="H67">
        <v>3710</v>
      </c>
      <c r="I67">
        <v>255.84070080859999</v>
      </c>
      <c r="J67">
        <v>545</v>
      </c>
      <c r="K67">
        <v>358.91743119270001</v>
      </c>
      <c r="L67">
        <v>1121</v>
      </c>
      <c r="M67">
        <v>408.91793041929998</v>
      </c>
      <c r="N67">
        <v>664</v>
      </c>
      <c r="O67">
        <v>585.64006024100001</v>
      </c>
      <c r="R67">
        <v>6</v>
      </c>
      <c r="S67">
        <v>441.8333333333</v>
      </c>
    </row>
    <row r="68" spans="6:19" x14ac:dyDescent="0.2">
      <c r="F68" t="s">
        <v>430</v>
      </c>
      <c r="G68">
        <v>20</v>
      </c>
      <c r="H68">
        <v>7</v>
      </c>
      <c r="I68">
        <v>354</v>
      </c>
      <c r="L68">
        <v>4</v>
      </c>
      <c r="M68">
        <v>571</v>
      </c>
      <c r="N68">
        <v>8</v>
      </c>
      <c r="O68">
        <v>168.375</v>
      </c>
      <c r="R68">
        <v>1</v>
      </c>
      <c r="S68">
        <v>332</v>
      </c>
    </row>
    <row r="69" spans="6:19" x14ac:dyDescent="0.2">
      <c r="F69" t="s">
        <v>86</v>
      </c>
      <c r="G69">
        <v>9241</v>
      </c>
      <c r="H69">
        <v>7089</v>
      </c>
      <c r="I69">
        <v>247.33234588799999</v>
      </c>
      <c r="J69">
        <v>1013</v>
      </c>
      <c r="K69">
        <v>484.35143139190001</v>
      </c>
      <c r="L69">
        <v>1143</v>
      </c>
      <c r="M69">
        <v>176.87051618550001</v>
      </c>
      <c r="N69">
        <v>990</v>
      </c>
      <c r="O69">
        <v>342.45252525249998</v>
      </c>
      <c r="R69">
        <v>19</v>
      </c>
      <c r="S69">
        <v>296.31578947370002</v>
      </c>
    </row>
    <row r="70" spans="6:19" x14ac:dyDescent="0.2">
      <c r="F70" t="s">
        <v>138</v>
      </c>
      <c r="G70">
        <v>121</v>
      </c>
      <c r="H70">
        <v>76</v>
      </c>
      <c r="I70">
        <v>142.27631578949999</v>
      </c>
      <c r="J70">
        <v>52</v>
      </c>
      <c r="K70">
        <v>311.51923076920002</v>
      </c>
      <c r="L70">
        <v>17</v>
      </c>
      <c r="M70">
        <v>294.9411764706</v>
      </c>
      <c r="N70">
        <v>28</v>
      </c>
      <c r="O70">
        <v>472.96428571429999</v>
      </c>
    </row>
    <row r="71" spans="6:19" x14ac:dyDescent="0.2">
      <c r="F71" t="s">
        <v>369</v>
      </c>
      <c r="G71">
        <v>56423</v>
      </c>
      <c r="H71">
        <v>40454</v>
      </c>
      <c r="I71">
        <v>358.05087511120001</v>
      </c>
      <c r="J71">
        <v>4609</v>
      </c>
      <c r="K71">
        <v>542.68735083529998</v>
      </c>
      <c r="L71">
        <v>9959</v>
      </c>
      <c r="M71">
        <v>574.75911236069999</v>
      </c>
      <c r="N71">
        <v>5908</v>
      </c>
      <c r="O71">
        <v>548.40460470630001</v>
      </c>
      <c r="R71">
        <v>102</v>
      </c>
      <c r="S71">
        <v>422.637254902</v>
      </c>
    </row>
    <row r="72" spans="6:19" x14ac:dyDescent="0.2">
      <c r="F72" t="s">
        <v>698</v>
      </c>
      <c r="G72">
        <v>325403</v>
      </c>
      <c r="H72">
        <v>234314</v>
      </c>
      <c r="I72">
        <v>396.2969603592</v>
      </c>
      <c r="J72">
        <v>21946</v>
      </c>
      <c r="K72">
        <v>576.33987970470002</v>
      </c>
      <c r="L72">
        <v>54656</v>
      </c>
      <c r="M72">
        <v>611.40301156320004</v>
      </c>
      <c r="N72">
        <v>25057</v>
      </c>
      <c r="O72">
        <v>516.82205013570001</v>
      </c>
      <c r="P72">
        <v>10935</v>
      </c>
      <c r="Q72">
        <v>181.34431028169999</v>
      </c>
      <c r="R72">
        <v>441</v>
      </c>
      <c r="S72">
        <v>456.20861678</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494</v>
      </c>
      <c r="B1" t="s">
        <v>366</v>
      </c>
      <c r="C1" t="s">
        <v>493</v>
      </c>
      <c r="D1" t="s">
        <v>495</v>
      </c>
      <c r="E1" t="s">
        <v>496</v>
      </c>
      <c r="F1" t="s">
        <v>497</v>
      </c>
      <c r="G1" t="s">
        <v>498</v>
      </c>
      <c r="H1" t="s">
        <v>499</v>
      </c>
      <c r="I1" t="s">
        <v>500</v>
      </c>
      <c r="J1" t="s">
        <v>501</v>
      </c>
      <c r="K1" t="s">
        <v>502</v>
      </c>
      <c r="L1" t="s">
        <v>367</v>
      </c>
      <c r="M1" t="s">
        <v>503</v>
      </c>
      <c r="N1" t="s">
        <v>504</v>
      </c>
      <c r="O1" t="s">
        <v>505</v>
      </c>
      <c r="P1" t="s">
        <v>506</v>
      </c>
      <c r="Q1" t="s">
        <v>507</v>
      </c>
      <c r="R1" t="s">
        <v>678</v>
      </c>
    </row>
    <row r="2" spans="1:18" x14ac:dyDescent="0.2">
      <c r="A2">
        <v>1</v>
      </c>
      <c r="B2">
        <v>-99</v>
      </c>
      <c r="C2" t="s">
        <v>437</v>
      </c>
      <c r="D2" t="s">
        <v>698</v>
      </c>
      <c r="E2" t="s">
        <v>437</v>
      </c>
      <c r="F2" t="s">
        <v>698</v>
      </c>
      <c r="G2" t="s">
        <v>437</v>
      </c>
      <c r="H2" t="s">
        <v>6</v>
      </c>
      <c r="I2">
        <v>-99</v>
      </c>
      <c r="J2">
        <v>1</v>
      </c>
      <c r="K2" t="s">
        <v>6</v>
      </c>
      <c r="L2">
        <v>-99</v>
      </c>
      <c r="M2" t="s">
        <v>654</v>
      </c>
      <c r="N2" t="s">
        <v>654</v>
      </c>
      <c r="O2">
        <v>-99</v>
      </c>
      <c r="P2">
        <v>-99</v>
      </c>
      <c r="Q2">
        <v>1</v>
      </c>
      <c r="R2" t="s">
        <v>654</v>
      </c>
    </row>
    <row r="3" spans="1:18" x14ac:dyDescent="0.2">
      <c r="A3">
        <v>2</v>
      </c>
      <c r="B3">
        <v>-99</v>
      </c>
      <c r="C3" t="s">
        <v>438</v>
      </c>
      <c r="D3" t="s">
        <v>6</v>
      </c>
      <c r="E3" t="s">
        <v>438</v>
      </c>
      <c r="F3" t="s">
        <v>1036</v>
      </c>
      <c r="G3" t="s">
        <v>437</v>
      </c>
      <c r="H3" t="s">
        <v>6</v>
      </c>
      <c r="I3">
        <v>-99</v>
      </c>
      <c r="J3">
        <v>1</v>
      </c>
      <c r="K3" t="s">
        <v>6</v>
      </c>
      <c r="L3">
        <v>-99</v>
      </c>
      <c r="M3" t="s">
        <v>654</v>
      </c>
      <c r="N3" t="s">
        <v>654</v>
      </c>
      <c r="O3">
        <v>-99</v>
      </c>
      <c r="P3">
        <v>-99</v>
      </c>
      <c r="Q3">
        <v>1</v>
      </c>
      <c r="R3" t="s">
        <v>654</v>
      </c>
    </row>
    <row r="4" spans="1:18" x14ac:dyDescent="0.2">
      <c r="A4">
        <v>3</v>
      </c>
      <c r="B4">
        <v>-99</v>
      </c>
      <c r="C4" t="s">
        <v>655</v>
      </c>
      <c r="D4" t="s">
        <v>6</v>
      </c>
      <c r="E4" t="s">
        <v>655</v>
      </c>
      <c r="F4" t="s">
        <v>1038</v>
      </c>
      <c r="G4" t="s">
        <v>437</v>
      </c>
      <c r="H4" t="s">
        <v>6</v>
      </c>
      <c r="I4">
        <v>-99</v>
      </c>
      <c r="J4">
        <v>1</v>
      </c>
      <c r="K4" t="s">
        <v>6</v>
      </c>
      <c r="L4">
        <v>-99</v>
      </c>
      <c r="M4" t="s">
        <v>654</v>
      </c>
      <c r="N4" t="s">
        <v>654</v>
      </c>
      <c r="O4">
        <v>-99</v>
      </c>
      <c r="P4">
        <v>-99</v>
      </c>
      <c r="Q4">
        <v>1</v>
      </c>
      <c r="R4" t="s">
        <v>211</v>
      </c>
    </row>
    <row r="5" spans="1:18" x14ac:dyDescent="0.2">
      <c r="A5">
        <v>4</v>
      </c>
      <c r="B5">
        <v>-99</v>
      </c>
      <c r="C5" t="s">
        <v>439</v>
      </c>
      <c r="D5" t="s">
        <v>6</v>
      </c>
      <c r="E5" t="s">
        <v>439</v>
      </c>
      <c r="F5" t="s">
        <v>1044</v>
      </c>
      <c r="G5" t="s">
        <v>437</v>
      </c>
      <c r="H5" t="s">
        <v>6</v>
      </c>
      <c r="I5">
        <v>-99</v>
      </c>
      <c r="J5">
        <v>1</v>
      </c>
      <c r="K5" t="s">
        <v>6</v>
      </c>
      <c r="L5">
        <v>-99</v>
      </c>
      <c r="M5" t="s">
        <v>654</v>
      </c>
      <c r="N5" t="s">
        <v>654</v>
      </c>
      <c r="O5">
        <v>-99</v>
      </c>
      <c r="P5">
        <v>-99</v>
      </c>
      <c r="Q5">
        <v>1</v>
      </c>
      <c r="R5" t="s">
        <v>683</v>
      </c>
    </row>
    <row r="6" spans="1:18" x14ac:dyDescent="0.2">
      <c r="A6">
        <v>5</v>
      </c>
      <c r="B6">
        <v>-99</v>
      </c>
      <c r="C6" t="s">
        <v>440</v>
      </c>
      <c r="D6" t="s">
        <v>6</v>
      </c>
      <c r="E6" t="s">
        <v>440</v>
      </c>
      <c r="F6" t="s">
        <v>695</v>
      </c>
      <c r="G6" t="s">
        <v>437</v>
      </c>
      <c r="H6" t="s">
        <v>6</v>
      </c>
      <c r="I6">
        <v>-99</v>
      </c>
      <c r="J6">
        <v>1</v>
      </c>
      <c r="K6" t="s">
        <v>6</v>
      </c>
      <c r="L6">
        <v>-99</v>
      </c>
      <c r="M6" t="s">
        <v>654</v>
      </c>
      <c r="N6" t="s">
        <v>654</v>
      </c>
      <c r="O6">
        <v>-99</v>
      </c>
      <c r="P6">
        <v>-99</v>
      </c>
      <c r="Q6">
        <v>1</v>
      </c>
      <c r="R6" t="s">
        <v>679</v>
      </c>
    </row>
    <row r="7" spans="1:18" x14ac:dyDescent="0.2">
      <c r="A7">
        <v>6</v>
      </c>
      <c r="B7">
        <v>-99</v>
      </c>
      <c r="C7" t="s">
        <v>441</v>
      </c>
      <c r="D7" t="s">
        <v>6</v>
      </c>
      <c r="E7" t="s">
        <v>441</v>
      </c>
      <c r="F7" t="s">
        <v>1039</v>
      </c>
      <c r="G7" t="s">
        <v>437</v>
      </c>
      <c r="H7" t="s">
        <v>6</v>
      </c>
      <c r="I7">
        <v>-99</v>
      </c>
      <c r="J7">
        <v>1</v>
      </c>
      <c r="K7" t="s">
        <v>6</v>
      </c>
      <c r="L7">
        <v>-99</v>
      </c>
      <c r="M7" t="s">
        <v>654</v>
      </c>
      <c r="N7" t="s">
        <v>654</v>
      </c>
      <c r="O7">
        <v>-99</v>
      </c>
      <c r="P7">
        <v>-99</v>
      </c>
      <c r="Q7">
        <v>1</v>
      </c>
      <c r="R7" t="s">
        <v>680</v>
      </c>
    </row>
    <row r="8" spans="1:18" x14ac:dyDescent="0.2">
      <c r="A8">
        <v>7</v>
      </c>
      <c r="B8">
        <v>-99</v>
      </c>
      <c r="C8" t="s">
        <v>442</v>
      </c>
      <c r="D8" t="s">
        <v>6</v>
      </c>
      <c r="E8" t="s">
        <v>442</v>
      </c>
      <c r="F8" t="s">
        <v>1045</v>
      </c>
      <c r="G8" t="s">
        <v>437</v>
      </c>
      <c r="H8" t="s">
        <v>6</v>
      </c>
      <c r="I8">
        <v>-99</v>
      </c>
      <c r="J8">
        <v>1</v>
      </c>
      <c r="K8" t="s">
        <v>6</v>
      </c>
      <c r="L8">
        <v>-99</v>
      </c>
      <c r="M8" t="s">
        <v>654</v>
      </c>
      <c r="N8" t="s">
        <v>654</v>
      </c>
      <c r="O8">
        <v>-99</v>
      </c>
      <c r="P8">
        <v>-99</v>
      </c>
      <c r="Q8">
        <v>1</v>
      </c>
      <c r="R8" t="s">
        <v>681</v>
      </c>
    </row>
    <row r="9" spans="1:18" x14ac:dyDescent="0.2">
      <c r="A9">
        <v>8</v>
      </c>
      <c r="B9">
        <v>-99</v>
      </c>
      <c r="C9" t="s">
        <v>443</v>
      </c>
      <c r="D9" t="s">
        <v>6</v>
      </c>
      <c r="E9" t="s">
        <v>443</v>
      </c>
      <c r="F9" t="s">
        <v>1046</v>
      </c>
      <c r="G9" t="s">
        <v>437</v>
      </c>
      <c r="H9" t="s">
        <v>6</v>
      </c>
      <c r="I9">
        <v>-99</v>
      </c>
      <c r="J9">
        <v>1</v>
      </c>
      <c r="K9" t="s">
        <v>6</v>
      </c>
      <c r="L9">
        <v>-99</v>
      </c>
      <c r="M9" t="s">
        <v>654</v>
      </c>
      <c r="N9" t="s">
        <v>654</v>
      </c>
      <c r="O9">
        <v>-99</v>
      </c>
      <c r="P9">
        <v>-99</v>
      </c>
      <c r="Q9">
        <v>1</v>
      </c>
      <c r="R9" t="s">
        <v>398</v>
      </c>
    </row>
    <row r="10" spans="1:18" x14ac:dyDescent="0.2">
      <c r="A10">
        <v>9</v>
      </c>
      <c r="B10">
        <v>-99</v>
      </c>
      <c r="C10" t="s">
        <v>444</v>
      </c>
      <c r="D10" t="s">
        <v>6</v>
      </c>
      <c r="E10" t="s">
        <v>444</v>
      </c>
      <c r="F10" t="s">
        <v>1047</v>
      </c>
      <c r="G10" t="s">
        <v>437</v>
      </c>
      <c r="H10" t="s">
        <v>6</v>
      </c>
      <c r="I10">
        <v>-99</v>
      </c>
      <c r="J10">
        <v>1</v>
      </c>
      <c r="K10" t="s">
        <v>6</v>
      </c>
      <c r="L10">
        <v>-99</v>
      </c>
      <c r="M10" t="s">
        <v>654</v>
      </c>
      <c r="N10" t="s">
        <v>654</v>
      </c>
      <c r="O10">
        <v>-99</v>
      </c>
      <c r="P10">
        <v>-99</v>
      </c>
      <c r="Q10">
        <v>1</v>
      </c>
      <c r="R10" t="s">
        <v>684</v>
      </c>
    </row>
    <row r="11" spans="1:18" x14ac:dyDescent="0.2">
      <c r="A11">
        <v>10</v>
      </c>
      <c r="B11">
        <v>-99</v>
      </c>
      <c r="C11" t="s">
        <v>445</v>
      </c>
      <c r="D11" t="s">
        <v>6</v>
      </c>
      <c r="E11" t="s">
        <v>445</v>
      </c>
      <c r="F11" t="s">
        <v>1048</v>
      </c>
      <c r="G11" t="s">
        <v>437</v>
      </c>
      <c r="H11" t="s">
        <v>6</v>
      </c>
      <c r="I11">
        <v>-99</v>
      </c>
      <c r="J11">
        <v>1</v>
      </c>
      <c r="K11" t="s">
        <v>6</v>
      </c>
      <c r="L11">
        <v>-99</v>
      </c>
      <c r="M11" t="s">
        <v>654</v>
      </c>
      <c r="N11" t="s">
        <v>654</v>
      </c>
      <c r="O11">
        <v>-99</v>
      </c>
      <c r="P11">
        <v>-99</v>
      </c>
      <c r="Q11">
        <v>1</v>
      </c>
      <c r="R11" t="s">
        <v>654</v>
      </c>
    </row>
    <row r="12" spans="1:18" x14ac:dyDescent="0.2">
      <c r="A12">
        <v>11</v>
      </c>
      <c r="B12">
        <v>-99</v>
      </c>
      <c r="C12" t="s">
        <v>447</v>
      </c>
      <c r="D12" t="s">
        <v>508</v>
      </c>
      <c r="E12" t="s">
        <v>656</v>
      </c>
      <c r="F12" t="s">
        <v>132</v>
      </c>
      <c r="G12" t="s">
        <v>656</v>
      </c>
      <c r="H12" t="s">
        <v>370</v>
      </c>
      <c r="I12">
        <v>-99</v>
      </c>
      <c r="J12">
        <v>-99</v>
      </c>
      <c r="K12" t="s">
        <v>654</v>
      </c>
      <c r="L12">
        <v>-99</v>
      </c>
      <c r="M12" t="s">
        <v>654</v>
      </c>
      <c r="N12" t="s">
        <v>654</v>
      </c>
      <c r="O12">
        <v>-99</v>
      </c>
      <c r="P12">
        <v>-99</v>
      </c>
      <c r="Q12">
        <v>2</v>
      </c>
      <c r="R12" t="s">
        <v>654</v>
      </c>
    </row>
    <row r="13" spans="1:18" x14ac:dyDescent="0.2">
      <c r="A13">
        <v>12</v>
      </c>
      <c r="B13">
        <v>-99</v>
      </c>
      <c r="C13" t="s">
        <v>449</v>
      </c>
      <c r="D13" t="s">
        <v>508</v>
      </c>
      <c r="E13" t="s">
        <v>657</v>
      </c>
      <c r="F13" t="s">
        <v>133</v>
      </c>
      <c r="G13" t="s">
        <v>657</v>
      </c>
      <c r="H13" t="s">
        <v>377</v>
      </c>
      <c r="I13">
        <v>-99</v>
      </c>
      <c r="J13">
        <v>-99</v>
      </c>
      <c r="K13" t="s">
        <v>654</v>
      </c>
      <c r="L13">
        <v>-99</v>
      </c>
      <c r="M13" t="s">
        <v>654</v>
      </c>
      <c r="N13" t="s">
        <v>654</v>
      </c>
      <c r="O13">
        <v>-99</v>
      </c>
      <c r="P13">
        <v>-99</v>
      </c>
      <c r="Q13">
        <v>2</v>
      </c>
      <c r="R13" t="s">
        <v>654</v>
      </c>
    </row>
    <row r="14" spans="1:18" x14ac:dyDescent="0.2">
      <c r="A14">
        <v>13</v>
      </c>
      <c r="B14">
        <v>-99</v>
      </c>
      <c r="C14" t="s">
        <v>452</v>
      </c>
      <c r="D14" t="s">
        <v>508</v>
      </c>
      <c r="E14" t="s">
        <v>658</v>
      </c>
      <c r="F14" t="s">
        <v>134</v>
      </c>
      <c r="G14" t="s">
        <v>658</v>
      </c>
      <c r="H14" t="s">
        <v>386</v>
      </c>
      <c r="I14">
        <v>-99</v>
      </c>
      <c r="J14">
        <v>-99</v>
      </c>
      <c r="K14" t="s">
        <v>654</v>
      </c>
      <c r="L14">
        <v>-99</v>
      </c>
      <c r="M14" t="s">
        <v>654</v>
      </c>
      <c r="N14" t="s">
        <v>654</v>
      </c>
      <c r="O14">
        <v>-99</v>
      </c>
      <c r="P14">
        <v>-99</v>
      </c>
      <c r="Q14">
        <v>2</v>
      </c>
      <c r="R14" t="s">
        <v>654</v>
      </c>
    </row>
    <row r="15" spans="1:18" x14ac:dyDescent="0.2">
      <c r="A15">
        <v>14</v>
      </c>
      <c r="B15">
        <v>-99</v>
      </c>
      <c r="C15" t="s">
        <v>659</v>
      </c>
      <c r="D15" t="s">
        <v>508</v>
      </c>
      <c r="E15" t="s">
        <v>660</v>
      </c>
      <c r="F15" t="s">
        <v>135</v>
      </c>
      <c r="G15" t="s">
        <v>660</v>
      </c>
      <c r="H15" t="s">
        <v>402</v>
      </c>
      <c r="I15">
        <v>-99</v>
      </c>
      <c r="J15">
        <v>-99</v>
      </c>
      <c r="K15" t="s">
        <v>654</v>
      </c>
      <c r="L15">
        <v>-99</v>
      </c>
      <c r="M15" t="s">
        <v>654</v>
      </c>
      <c r="N15" t="s">
        <v>654</v>
      </c>
      <c r="O15">
        <v>-99</v>
      </c>
      <c r="P15">
        <v>-99</v>
      </c>
      <c r="Q15">
        <v>2</v>
      </c>
      <c r="R15" t="s">
        <v>654</v>
      </c>
    </row>
    <row r="16" spans="1:18" x14ac:dyDescent="0.2">
      <c r="A16">
        <v>15</v>
      </c>
      <c r="B16">
        <v>-99</v>
      </c>
      <c r="C16" t="s">
        <v>662</v>
      </c>
      <c r="D16" t="s">
        <v>429</v>
      </c>
      <c r="E16" t="s">
        <v>662</v>
      </c>
      <c r="F16" t="s">
        <v>429</v>
      </c>
      <c r="G16" t="s">
        <v>654</v>
      </c>
      <c r="H16" t="s">
        <v>654</v>
      </c>
      <c r="I16">
        <v>-99</v>
      </c>
      <c r="J16">
        <v>30</v>
      </c>
      <c r="K16" t="s">
        <v>369</v>
      </c>
      <c r="L16">
        <v>-99</v>
      </c>
      <c r="M16" t="s">
        <v>654</v>
      </c>
      <c r="N16" t="s">
        <v>654</v>
      </c>
      <c r="O16">
        <v>-99</v>
      </c>
      <c r="P16">
        <v>-99</v>
      </c>
      <c r="Q16">
        <v>3</v>
      </c>
      <c r="R16" t="s">
        <v>654</v>
      </c>
    </row>
    <row r="17" spans="1:18" x14ac:dyDescent="0.2">
      <c r="A17">
        <v>16</v>
      </c>
      <c r="B17">
        <v>-99</v>
      </c>
      <c r="C17" t="s">
        <v>661</v>
      </c>
      <c r="D17" t="s">
        <v>435</v>
      </c>
      <c r="E17" t="s">
        <v>661</v>
      </c>
      <c r="F17" t="s">
        <v>435</v>
      </c>
      <c r="G17" t="s">
        <v>654</v>
      </c>
      <c r="H17" t="s">
        <v>654</v>
      </c>
      <c r="I17">
        <v>-99</v>
      </c>
      <c r="J17">
        <v>31</v>
      </c>
      <c r="K17" t="s">
        <v>380</v>
      </c>
      <c r="L17">
        <v>-99</v>
      </c>
      <c r="M17" t="s">
        <v>654</v>
      </c>
      <c r="N17" t="s">
        <v>654</v>
      </c>
      <c r="O17">
        <v>-99</v>
      </c>
      <c r="P17">
        <v>-99</v>
      </c>
      <c r="Q17">
        <v>3</v>
      </c>
      <c r="R17" t="s">
        <v>654</v>
      </c>
    </row>
    <row r="18" spans="1:18" x14ac:dyDescent="0.2">
      <c r="A18">
        <v>17</v>
      </c>
      <c r="B18">
        <v>-99</v>
      </c>
      <c r="C18" t="s">
        <v>663</v>
      </c>
      <c r="D18" t="s">
        <v>433</v>
      </c>
      <c r="E18" t="s">
        <v>663</v>
      </c>
      <c r="F18" t="s">
        <v>433</v>
      </c>
      <c r="G18" t="s">
        <v>654</v>
      </c>
      <c r="H18" t="s">
        <v>654</v>
      </c>
      <c r="I18">
        <v>-99</v>
      </c>
      <c r="J18">
        <v>32</v>
      </c>
      <c r="K18" t="s">
        <v>390</v>
      </c>
      <c r="L18">
        <v>-99</v>
      </c>
      <c r="M18" t="s">
        <v>654</v>
      </c>
      <c r="N18" t="s">
        <v>654</v>
      </c>
      <c r="O18">
        <v>-99</v>
      </c>
      <c r="P18">
        <v>-99</v>
      </c>
      <c r="Q18">
        <v>3</v>
      </c>
      <c r="R18" t="s">
        <v>654</v>
      </c>
    </row>
    <row r="19" spans="1:18" x14ac:dyDescent="0.2">
      <c r="A19">
        <v>18</v>
      </c>
      <c r="B19">
        <v>-99</v>
      </c>
      <c r="C19" t="s">
        <v>664</v>
      </c>
      <c r="D19" t="s">
        <v>432</v>
      </c>
      <c r="E19" t="s">
        <v>664</v>
      </c>
      <c r="F19" t="s">
        <v>432</v>
      </c>
      <c r="G19" t="s">
        <v>654</v>
      </c>
      <c r="H19" t="s">
        <v>654</v>
      </c>
      <c r="I19">
        <v>-99</v>
      </c>
      <c r="J19">
        <v>33</v>
      </c>
      <c r="K19" t="s">
        <v>385</v>
      </c>
      <c r="L19">
        <v>-99</v>
      </c>
      <c r="M19" t="s">
        <v>654</v>
      </c>
      <c r="N19" t="s">
        <v>654</v>
      </c>
      <c r="O19">
        <v>-99</v>
      </c>
      <c r="P19">
        <v>-99</v>
      </c>
      <c r="Q19">
        <v>3</v>
      </c>
      <c r="R19" t="s">
        <v>654</v>
      </c>
    </row>
    <row r="20" spans="1:18" x14ac:dyDescent="0.2">
      <c r="A20">
        <v>19</v>
      </c>
      <c r="B20">
        <v>-99</v>
      </c>
      <c r="C20" t="s">
        <v>665</v>
      </c>
      <c r="D20" t="s">
        <v>434</v>
      </c>
      <c r="E20" t="s">
        <v>665</v>
      </c>
      <c r="F20" t="s">
        <v>434</v>
      </c>
      <c r="G20" t="s">
        <v>654</v>
      </c>
      <c r="H20" t="s">
        <v>654</v>
      </c>
      <c r="I20">
        <v>-99</v>
      </c>
      <c r="J20">
        <v>34</v>
      </c>
      <c r="K20" t="s">
        <v>404</v>
      </c>
      <c r="L20">
        <v>-99</v>
      </c>
      <c r="M20" t="s">
        <v>654</v>
      </c>
      <c r="N20" t="s">
        <v>654</v>
      </c>
      <c r="O20">
        <v>-99</v>
      </c>
      <c r="P20">
        <v>-99</v>
      </c>
      <c r="Q20">
        <v>3</v>
      </c>
      <c r="R20" t="s">
        <v>654</v>
      </c>
    </row>
    <row r="21" spans="1:18" x14ac:dyDescent="0.2">
      <c r="A21">
        <v>20</v>
      </c>
      <c r="B21">
        <v>1</v>
      </c>
      <c r="C21" t="s">
        <v>667</v>
      </c>
      <c r="D21" t="s">
        <v>368</v>
      </c>
      <c r="E21" t="s">
        <v>667</v>
      </c>
      <c r="F21" t="s">
        <v>509</v>
      </c>
      <c r="G21" t="s">
        <v>668</v>
      </c>
      <c r="H21" t="s">
        <v>8</v>
      </c>
      <c r="I21">
        <v>-99</v>
      </c>
      <c r="J21">
        <v>35</v>
      </c>
      <c r="K21" t="s">
        <v>8</v>
      </c>
      <c r="L21">
        <v>8240</v>
      </c>
      <c r="M21" t="s">
        <v>510</v>
      </c>
      <c r="N21" t="s">
        <v>654</v>
      </c>
      <c r="O21">
        <v>1</v>
      </c>
      <c r="P21">
        <v>2</v>
      </c>
      <c r="Q21">
        <v>-99</v>
      </c>
      <c r="R21" t="s">
        <v>654</v>
      </c>
    </row>
    <row r="22" spans="1:18" x14ac:dyDescent="0.2">
      <c r="A22">
        <v>21</v>
      </c>
      <c r="B22">
        <v>8</v>
      </c>
      <c r="C22" t="s">
        <v>139</v>
      </c>
      <c r="D22" t="s">
        <v>38</v>
      </c>
      <c r="E22" t="s">
        <v>511</v>
      </c>
      <c r="F22" t="s">
        <v>512</v>
      </c>
      <c r="G22" t="s">
        <v>656</v>
      </c>
      <c r="H22" t="s">
        <v>370</v>
      </c>
      <c r="I22">
        <v>380</v>
      </c>
      <c r="J22">
        <v>30</v>
      </c>
      <c r="K22" t="s">
        <v>369</v>
      </c>
      <c r="L22">
        <v>8233</v>
      </c>
      <c r="M22" t="s">
        <v>325</v>
      </c>
      <c r="N22" t="s">
        <v>371</v>
      </c>
      <c r="O22">
        <v>1</v>
      </c>
      <c r="P22">
        <v>2</v>
      </c>
      <c r="Q22">
        <v>-99</v>
      </c>
      <c r="R22" t="s">
        <v>682</v>
      </c>
    </row>
    <row r="23" spans="1:18" x14ac:dyDescent="0.2">
      <c r="A23">
        <v>22</v>
      </c>
      <c r="B23">
        <v>9</v>
      </c>
      <c r="C23" t="s">
        <v>140</v>
      </c>
      <c r="D23" t="s">
        <v>70</v>
      </c>
      <c r="E23" t="s">
        <v>513</v>
      </c>
      <c r="F23" t="s">
        <v>514</v>
      </c>
      <c r="G23" t="s">
        <v>656</v>
      </c>
      <c r="H23" t="s">
        <v>370</v>
      </c>
      <c r="I23">
        <v>380</v>
      </c>
      <c r="J23">
        <v>30</v>
      </c>
      <c r="K23" t="s">
        <v>369</v>
      </c>
      <c r="L23">
        <v>8235</v>
      </c>
      <c r="M23" t="s">
        <v>360</v>
      </c>
      <c r="N23" t="s">
        <v>372</v>
      </c>
      <c r="O23">
        <v>1</v>
      </c>
      <c r="P23">
        <v>1</v>
      </c>
      <c r="Q23">
        <v>-99</v>
      </c>
      <c r="R23" t="s">
        <v>682</v>
      </c>
    </row>
    <row r="24" spans="1:18" x14ac:dyDescent="0.2">
      <c r="A24">
        <v>23</v>
      </c>
      <c r="B24">
        <v>-99</v>
      </c>
      <c r="C24" t="s">
        <v>140</v>
      </c>
      <c r="D24" t="s">
        <v>70</v>
      </c>
      <c r="E24" t="s">
        <v>515</v>
      </c>
      <c r="F24" t="s">
        <v>516</v>
      </c>
      <c r="G24" t="s">
        <v>656</v>
      </c>
      <c r="H24" t="s">
        <v>370</v>
      </c>
      <c r="I24">
        <v>380</v>
      </c>
      <c r="J24">
        <v>30</v>
      </c>
      <c r="K24" t="s">
        <v>369</v>
      </c>
      <c r="L24">
        <v>8235</v>
      </c>
      <c r="M24" t="s">
        <v>360</v>
      </c>
      <c r="N24" t="s">
        <v>372</v>
      </c>
      <c r="O24">
        <v>-99</v>
      </c>
      <c r="P24">
        <v>1</v>
      </c>
      <c r="Q24">
        <v>-99</v>
      </c>
      <c r="R24" t="s">
        <v>398</v>
      </c>
    </row>
    <row r="25" spans="1:18" x14ac:dyDescent="0.2">
      <c r="A25">
        <v>24</v>
      </c>
      <c r="B25">
        <v>10</v>
      </c>
      <c r="C25" t="s">
        <v>141</v>
      </c>
      <c r="D25" t="s">
        <v>63</v>
      </c>
      <c r="E25" t="s">
        <v>517</v>
      </c>
      <c r="F25" t="s">
        <v>518</v>
      </c>
      <c r="G25" t="s">
        <v>656</v>
      </c>
      <c r="H25" t="s">
        <v>370</v>
      </c>
      <c r="I25">
        <v>380</v>
      </c>
      <c r="J25">
        <v>30</v>
      </c>
      <c r="K25" t="s">
        <v>369</v>
      </c>
      <c r="L25">
        <v>8237</v>
      </c>
      <c r="M25" t="s">
        <v>335</v>
      </c>
      <c r="N25" t="s">
        <v>63</v>
      </c>
      <c r="O25">
        <v>1</v>
      </c>
      <c r="P25">
        <v>2</v>
      </c>
      <c r="Q25">
        <v>-99</v>
      </c>
      <c r="R25" t="s">
        <v>682</v>
      </c>
    </row>
    <row r="26" spans="1:18" x14ac:dyDescent="0.2">
      <c r="A26">
        <v>25</v>
      </c>
      <c r="B26">
        <v>11</v>
      </c>
      <c r="C26" t="s">
        <v>142</v>
      </c>
      <c r="D26" t="s">
        <v>24</v>
      </c>
      <c r="E26" t="s">
        <v>519</v>
      </c>
      <c r="F26" t="s">
        <v>520</v>
      </c>
      <c r="G26" t="s">
        <v>656</v>
      </c>
      <c r="H26" t="s">
        <v>370</v>
      </c>
      <c r="I26">
        <v>380</v>
      </c>
      <c r="J26">
        <v>30</v>
      </c>
      <c r="K26" t="s">
        <v>369</v>
      </c>
      <c r="L26">
        <v>8238</v>
      </c>
      <c r="M26" t="s">
        <v>335</v>
      </c>
      <c r="N26" t="s">
        <v>63</v>
      </c>
      <c r="O26">
        <v>1</v>
      </c>
      <c r="P26">
        <v>2</v>
      </c>
      <c r="Q26">
        <v>-99</v>
      </c>
      <c r="R26" t="s">
        <v>682</v>
      </c>
    </row>
    <row r="27" spans="1:18" x14ac:dyDescent="0.2">
      <c r="A27">
        <v>26</v>
      </c>
      <c r="B27">
        <v>12</v>
      </c>
      <c r="C27" t="s">
        <v>143</v>
      </c>
      <c r="D27" t="s">
        <v>47</v>
      </c>
      <c r="E27" t="s">
        <v>521</v>
      </c>
      <c r="F27" t="s">
        <v>522</v>
      </c>
      <c r="G27" t="s">
        <v>656</v>
      </c>
      <c r="H27" t="s">
        <v>370</v>
      </c>
      <c r="I27">
        <v>380</v>
      </c>
      <c r="J27">
        <v>30</v>
      </c>
      <c r="K27" t="s">
        <v>369</v>
      </c>
      <c r="L27">
        <v>8239</v>
      </c>
      <c r="M27" t="s">
        <v>353</v>
      </c>
      <c r="N27" t="s">
        <v>373</v>
      </c>
      <c r="O27">
        <v>1</v>
      </c>
      <c r="P27">
        <v>2</v>
      </c>
      <c r="Q27">
        <v>-99</v>
      </c>
      <c r="R27" t="s">
        <v>682</v>
      </c>
    </row>
    <row r="28" spans="1:18" x14ac:dyDescent="0.2">
      <c r="A28">
        <v>27</v>
      </c>
      <c r="B28">
        <v>13</v>
      </c>
      <c r="C28" t="s">
        <v>144</v>
      </c>
      <c r="D28" t="s">
        <v>64</v>
      </c>
      <c r="E28" t="s">
        <v>523</v>
      </c>
      <c r="F28" t="s">
        <v>524</v>
      </c>
      <c r="G28" t="s">
        <v>656</v>
      </c>
      <c r="H28" t="s">
        <v>370</v>
      </c>
      <c r="I28">
        <v>380</v>
      </c>
      <c r="J28">
        <v>30</v>
      </c>
      <c r="K28" t="s">
        <v>369</v>
      </c>
      <c r="L28">
        <v>8241</v>
      </c>
      <c r="M28" t="s">
        <v>357</v>
      </c>
      <c r="N28" t="s">
        <v>374</v>
      </c>
      <c r="O28">
        <v>1</v>
      </c>
      <c r="P28">
        <v>2</v>
      </c>
      <c r="Q28">
        <v>-99</v>
      </c>
      <c r="R28" t="s">
        <v>682</v>
      </c>
    </row>
    <row r="29" spans="1:18" x14ac:dyDescent="0.2">
      <c r="A29">
        <v>28</v>
      </c>
      <c r="B29">
        <v>14</v>
      </c>
      <c r="C29" t="s">
        <v>102</v>
      </c>
      <c r="D29" t="s">
        <v>66</v>
      </c>
      <c r="E29" t="s">
        <v>525</v>
      </c>
      <c r="F29" t="s">
        <v>526</v>
      </c>
      <c r="G29" t="s">
        <v>656</v>
      </c>
      <c r="H29" t="s">
        <v>370</v>
      </c>
      <c r="I29">
        <v>380</v>
      </c>
      <c r="J29">
        <v>30</v>
      </c>
      <c r="K29" t="s">
        <v>369</v>
      </c>
      <c r="L29">
        <v>8242</v>
      </c>
      <c r="M29" t="s">
        <v>347</v>
      </c>
      <c r="N29" t="s">
        <v>375</v>
      </c>
      <c r="O29">
        <v>1</v>
      </c>
      <c r="P29">
        <v>1</v>
      </c>
      <c r="Q29">
        <v>-99</v>
      </c>
      <c r="R29" t="s">
        <v>682</v>
      </c>
    </row>
    <row r="30" spans="1:18" x14ac:dyDescent="0.2">
      <c r="A30">
        <v>29</v>
      </c>
      <c r="B30">
        <v>-99</v>
      </c>
      <c r="C30" t="s">
        <v>102</v>
      </c>
      <c r="D30" t="s">
        <v>66</v>
      </c>
      <c r="E30" t="s">
        <v>527</v>
      </c>
      <c r="F30" t="s">
        <v>213</v>
      </c>
      <c r="G30" t="s">
        <v>656</v>
      </c>
      <c r="H30" t="s">
        <v>370</v>
      </c>
      <c r="I30">
        <v>380</v>
      </c>
      <c r="J30">
        <v>30</v>
      </c>
      <c r="K30" t="s">
        <v>369</v>
      </c>
      <c r="L30">
        <v>8242</v>
      </c>
      <c r="M30" t="s">
        <v>347</v>
      </c>
      <c r="N30" t="s">
        <v>375</v>
      </c>
      <c r="O30">
        <v>-99</v>
      </c>
      <c r="P30">
        <v>1</v>
      </c>
      <c r="Q30">
        <v>-99</v>
      </c>
      <c r="R30" t="s">
        <v>211</v>
      </c>
    </row>
    <row r="31" spans="1:18" x14ac:dyDescent="0.2">
      <c r="A31">
        <v>30</v>
      </c>
      <c r="B31">
        <v>15</v>
      </c>
      <c r="C31" t="s">
        <v>145</v>
      </c>
      <c r="D31" t="s">
        <v>68</v>
      </c>
      <c r="E31" t="s">
        <v>528</v>
      </c>
      <c r="F31" t="s">
        <v>529</v>
      </c>
      <c r="G31" t="s">
        <v>656</v>
      </c>
      <c r="H31" t="s">
        <v>370</v>
      </c>
      <c r="I31">
        <v>380</v>
      </c>
      <c r="J31">
        <v>30</v>
      </c>
      <c r="K31" t="s">
        <v>369</v>
      </c>
      <c r="L31">
        <v>8243</v>
      </c>
      <c r="M31" t="s">
        <v>347</v>
      </c>
      <c r="N31" t="s">
        <v>375</v>
      </c>
      <c r="O31">
        <v>1</v>
      </c>
      <c r="P31">
        <v>1</v>
      </c>
      <c r="Q31">
        <v>-99</v>
      </c>
      <c r="R31" t="s">
        <v>682</v>
      </c>
    </row>
    <row r="32" spans="1:18" x14ac:dyDescent="0.2">
      <c r="A32">
        <v>31</v>
      </c>
      <c r="B32">
        <v>-99</v>
      </c>
      <c r="C32" t="s">
        <v>145</v>
      </c>
      <c r="D32" t="s">
        <v>68</v>
      </c>
      <c r="E32" t="s">
        <v>530</v>
      </c>
      <c r="F32" t="s">
        <v>531</v>
      </c>
      <c r="G32" t="s">
        <v>656</v>
      </c>
      <c r="H32" t="s">
        <v>370</v>
      </c>
      <c r="I32">
        <v>380</v>
      </c>
      <c r="J32">
        <v>30</v>
      </c>
      <c r="K32" t="s">
        <v>369</v>
      </c>
      <c r="L32">
        <v>8243</v>
      </c>
      <c r="M32" t="s">
        <v>347</v>
      </c>
      <c r="N32" t="s">
        <v>375</v>
      </c>
      <c r="O32">
        <v>-99</v>
      </c>
      <c r="P32">
        <v>1</v>
      </c>
      <c r="Q32">
        <v>-99</v>
      </c>
      <c r="R32" t="s">
        <v>681</v>
      </c>
    </row>
    <row r="33" spans="1:18" x14ac:dyDescent="0.2">
      <c r="A33">
        <v>32</v>
      </c>
      <c r="B33">
        <v>16</v>
      </c>
      <c r="C33" t="s">
        <v>146</v>
      </c>
      <c r="D33" t="s">
        <v>36</v>
      </c>
      <c r="E33" t="s">
        <v>532</v>
      </c>
      <c r="F33" t="s">
        <v>533</v>
      </c>
      <c r="G33" t="s">
        <v>656</v>
      </c>
      <c r="H33" t="s">
        <v>370</v>
      </c>
      <c r="I33">
        <v>380</v>
      </c>
      <c r="J33">
        <v>30</v>
      </c>
      <c r="K33" t="s">
        <v>369</v>
      </c>
      <c r="L33">
        <v>8244</v>
      </c>
      <c r="M33" t="s">
        <v>342</v>
      </c>
      <c r="N33" t="s">
        <v>376</v>
      </c>
      <c r="O33">
        <v>1</v>
      </c>
      <c r="P33">
        <v>2</v>
      </c>
      <c r="Q33">
        <v>-99</v>
      </c>
      <c r="R33" t="s">
        <v>682</v>
      </c>
    </row>
    <row r="34" spans="1:18" x14ac:dyDescent="0.2">
      <c r="A34">
        <v>33</v>
      </c>
      <c r="B34">
        <v>23</v>
      </c>
      <c r="C34" t="s">
        <v>106</v>
      </c>
      <c r="D34" t="s">
        <v>72</v>
      </c>
      <c r="E34" t="s">
        <v>534</v>
      </c>
      <c r="F34" t="s">
        <v>535</v>
      </c>
      <c r="G34" t="s">
        <v>657</v>
      </c>
      <c r="H34" t="s">
        <v>377</v>
      </c>
      <c r="I34">
        <v>381</v>
      </c>
      <c r="J34">
        <v>30</v>
      </c>
      <c r="K34" t="s">
        <v>369</v>
      </c>
      <c r="L34">
        <v>8245</v>
      </c>
      <c r="M34" t="s">
        <v>321</v>
      </c>
      <c r="N34" t="s">
        <v>378</v>
      </c>
      <c r="O34">
        <v>1</v>
      </c>
      <c r="P34">
        <v>2</v>
      </c>
      <c r="Q34">
        <v>-99</v>
      </c>
      <c r="R34" t="s">
        <v>682</v>
      </c>
    </row>
    <row r="35" spans="1:18" x14ac:dyDescent="0.2">
      <c r="A35">
        <v>34</v>
      </c>
      <c r="B35">
        <v>24</v>
      </c>
      <c r="C35" t="s">
        <v>147</v>
      </c>
      <c r="D35" t="s">
        <v>50</v>
      </c>
      <c r="E35" t="s">
        <v>536</v>
      </c>
      <c r="F35" t="s">
        <v>537</v>
      </c>
      <c r="G35" t="s">
        <v>657</v>
      </c>
      <c r="H35" t="s">
        <v>377</v>
      </c>
      <c r="I35">
        <v>381</v>
      </c>
      <c r="J35">
        <v>30</v>
      </c>
      <c r="K35" t="s">
        <v>369</v>
      </c>
      <c r="L35">
        <v>8246</v>
      </c>
      <c r="M35" t="s">
        <v>337</v>
      </c>
      <c r="N35" t="s">
        <v>379</v>
      </c>
      <c r="O35">
        <v>1</v>
      </c>
      <c r="P35">
        <v>2</v>
      </c>
      <c r="Q35">
        <v>-99</v>
      </c>
      <c r="R35" t="s">
        <v>682</v>
      </c>
    </row>
    <row r="36" spans="1:18" x14ac:dyDescent="0.2">
      <c r="A36">
        <v>35</v>
      </c>
      <c r="B36">
        <v>30</v>
      </c>
      <c r="C36" t="s">
        <v>148</v>
      </c>
      <c r="D36" t="s">
        <v>25</v>
      </c>
      <c r="E36" t="s">
        <v>538</v>
      </c>
      <c r="F36" t="s">
        <v>539</v>
      </c>
      <c r="G36" t="s">
        <v>657</v>
      </c>
      <c r="H36" t="s">
        <v>377</v>
      </c>
      <c r="I36">
        <v>381</v>
      </c>
      <c r="J36">
        <v>31</v>
      </c>
      <c r="K36" t="s">
        <v>380</v>
      </c>
      <c r="L36">
        <v>8247</v>
      </c>
      <c r="M36" t="s">
        <v>362</v>
      </c>
      <c r="N36" t="s">
        <v>381</v>
      </c>
      <c r="O36">
        <v>1</v>
      </c>
      <c r="P36">
        <v>2</v>
      </c>
      <c r="Q36">
        <v>-99</v>
      </c>
      <c r="R36" t="s">
        <v>682</v>
      </c>
    </row>
    <row r="37" spans="1:18" x14ac:dyDescent="0.2">
      <c r="A37">
        <v>36</v>
      </c>
      <c r="B37">
        <v>194</v>
      </c>
      <c r="C37" t="s">
        <v>149</v>
      </c>
      <c r="D37" t="s">
        <v>80</v>
      </c>
      <c r="E37" t="s">
        <v>540</v>
      </c>
      <c r="F37" t="s">
        <v>541</v>
      </c>
      <c r="G37" t="s">
        <v>657</v>
      </c>
      <c r="H37" t="s">
        <v>377</v>
      </c>
      <c r="I37">
        <v>381</v>
      </c>
      <c r="J37">
        <v>31</v>
      </c>
      <c r="K37" t="s">
        <v>380</v>
      </c>
      <c r="L37">
        <v>8248</v>
      </c>
      <c r="M37" t="s">
        <v>317</v>
      </c>
      <c r="N37" t="s">
        <v>425</v>
      </c>
      <c r="O37">
        <v>1</v>
      </c>
      <c r="P37">
        <v>2</v>
      </c>
      <c r="Q37">
        <v>-99</v>
      </c>
      <c r="R37" t="s">
        <v>682</v>
      </c>
    </row>
    <row r="38" spans="1:18" x14ac:dyDescent="0.2">
      <c r="A38">
        <v>37</v>
      </c>
      <c r="B38">
        <v>34</v>
      </c>
      <c r="C38" t="s">
        <v>150</v>
      </c>
      <c r="D38" t="s">
        <v>86</v>
      </c>
      <c r="E38" t="s">
        <v>542</v>
      </c>
      <c r="F38" t="s">
        <v>543</v>
      </c>
      <c r="G38" t="s">
        <v>657</v>
      </c>
      <c r="H38" t="s">
        <v>377</v>
      </c>
      <c r="I38">
        <v>381</v>
      </c>
      <c r="J38">
        <v>30</v>
      </c>
      <c r="K38" t="s">
        <v>369</v>
      </c>
      <c r="L38">
        <v>8249</v>
      </c>
      <c r="M38" t="s">
        <v>348</v>
      </c>
      <c r="N38" t="s">
        <v>382</v>
      </c>
      <c r="O38">
        <v>1</v>
      </c>
      <c r="P38">
        <v>1</v>
      </c>
      <c r="Q38">
        <v>-99</v>
      </c>
      <c r="R38" t="s">
        <v>682</v>
      </c>
    </row>
    <row r="39" spans="1:18" x14ac:dyDescent="0.2">
      <c r="A39">
        <v>38</v>
      </c>
      <c r="B39">
        <v>-99</v>
      </c>
      <c r="C39" t="s">
        <v>150</v>
      </c>
      <c r="D39" t="s">
        <v>86</v>
      </c>
      <c r="E39" t="s">
        <v>544</v>
      </c>
      <c r="F39" t="s">
        <v>216</v>
      </c>
      <c r="G39" t="s">
        <v>657</v>
      </c>
      <c r="H39" t="s">
        <v>377</v>
      </c>
      <c r="I39">
        <v>381</v>
      </c>
      <c r="J39">
        <v>30</v>
      </c>
      <c r="K39" t="s">
        <v>369</v>
      </c>
      <c r="L39">
        <v>8249</v>
      </c>
      <c r="M39" t="s">
        <v>348</v>
      </c>
      <c r="N39" t="s">
        <v>382</v>
      </c>
      <c r="O39">
        <v>-99</v>
      </c>
      <c r="P39">
        <v>1</v>
      </c>
      <c r="Q39">
        <v>-99</v>
      </c>
      <c r="R39" t="s">
        <v>679</v>
      </c>
    </row>
    <row r="40" spans="1:18" x14ac:dyDescent="0.2">
      <c r="A40">
        <v>39</v>
      </c>
      <c r="B40">
        <v>-99</v>
      </c>
      <c r="C40" t="s">
        <v>150</v>
      </c>
      <c r="D40" t="s">
        <v>86</v>
      </c>
      <c r="E40" t="s">
        <v>545</v>
      </c>
      <c r="F40" t="s">
        <v>957</v>
      </c>
      <c r="G40" t="s">
        <v>657</v>
      </c>
      <c r="H40" t="s">
        <v>377</v>
      </c>
      <c r="I40">
        <v>381</v>
      </c>
      <c r="J40">
        <v>30</v>
      </c>
      <c r="K40" t="s">
        <v>369</v>
      </c>
      <c r="L40">
        <v>8249</v>
      </c>
      <c r="M40" t="s">
        <v>348</v>
      </c>
      <c r="N40" t="s">
        <v>382</v>
      </c>
      <c r="O40">
        <v>-99</v>
      </c>
      <c r="P40">
        <v>1</v>
      </c>
      <c r="Q40">
        <v>-99</v>
      </c>
      <c r="R40" t="s">
        <v>680</v>
      </c>
    </row>
    <row r="41" spans="1:18" x14ac:dyDescent="0.2">
      <c r="A41">
        <v>40</v>
      </c>
      <c r="B41">
        <v>35</v>
      </c>
      <c r="C41" t="s">
        <v>151</v>
      </c>
      <c r="D41" t="s">
        <v>42</v>
      </c>
      <c r="E41" t="s">
        <v>546</v>
      </c>
      <c r="F41" t="s">
        <v>547</v>
      </c>
      <c r="G41" t="s">
        <v>657</v>
      </c>
      <c r="H41" t="s">
        <v>377</v>
      </c>
      <c r="I41">
        <v>381</v>
      </c>
      <c r="J41">
        <v>31</v>
      </c>
      <c r="K41" t="s">
        <v>380</v>
      </c>
      <c r="L41">
        <v>8250</v>
      </c>
      <c r="M41" t="s">
        <v>340</v>
      </c>
      <c r="N41" t="s">
        <v>383</v>
      </c>
      <c r="O41">
        <v>1</v>
      </c>
      <c r="P41">
        <v>2</v>
      </c>
      <c r="Q41">
        <v>-99</v>
      </c>
      <c r="R41" t="s">
        <v>682</v>
      </c>
    </row>
    <row r="42" spans="1:18" x14ac:dyDescent="0.2">
      <c r="A42">
        <v>41</v>
      </c>
      <c r="B42">
        <v>36</v>
      </c>
      <c r="C42" t="s">
        <v>94</v>
      </c>
      <c r="D42" t="s">
        <v>61</v>
      </c>
      <c r="E42" t="s">
        <v>548</v>
      </c>
      <c r="F42" t="s">
        <v>549</v>
      </c>
      <c r="G42" t="s">
        <v>657</v>
      </c>
      <c r="H42" t="s">
        <v>377</v>
      </c>
      <c r="I42">
        <v>381</v>
      </c>
      <c r="J42">
        <v>31</v>
      </c>
      <c r="K42" t="s">
        <v>380</v>
      </c>
      <c r="L42">
        <v>8251</v>
      </c>
      <c r="M42" t="s">
        <v>343</v>
      </c>
      <c r="N42" t="s">
        <v>384</v>
      </c>
      <c r="O42">
        <v>1</v>
      </c>
      <c r="P42">
        <v>2</v>
      </c>
      <c r="Q42">
        <v>-99</v>
      </c>
      <c r="R42" t="s">
        <v>682</v>
      </c>
    </row>
    <row r="43" spans="1:18" x14ac:dyDescent="0.2">
      <c r="A43">
        <v>42</v>
      </c>
      <c r="B43">
        <v>37</v>
      </c>
      <c r="C43" t="s">
        <v>152</v>
      </c>
      <c r="D43" t="s">
        <v>62</v>
      </c>
      <c r="E43" t="s">
        <v>550</v>
      </c>
      <c r="F43" t="s">
        <v>551</v>
      </c>
      <c r="G43" t="s">
        <v>658</v>
      </c>
      <c r="H43" t="s">
        <v>386</v>
      </c>
      <c r="I43">
        <v>382</v>
      </c>
      <c r="J43">
        <v>33</v>
      </c>
      <c r="K43" t="s">
        <v>385</v>
      </c>
      <c r="L43">
        <v>8252</v>
      </c>
      <c r="M43" t="s">
        <v>320</v>
      </c>
      <c r="N43" t="s">
        <v>387</v>
      </c>
      <c r="O43">
        <v>1</v>
      </c>
      <c r="P43">
        <v>2</v>
      </c>
      <c r="Q43">
        <v>-99</v>
      </c>
      <c r="R43" t="s">
        <v>682</v>
      </c>
    </row>
    <row r="44" spans="1:18" x14ac:dyDescent="0.2">
      <c r="A44">
        <v>43</v>
      </c>
      <c r="B44">
        <v>38</v>
      </c>
      <c r="C44" t="s">
        <v>153</v>
      </c>
      <c r="D44" t="s">
        <v>60</v>
      </c>
      <c r="E44" t="s">
        <v>552</v>
      </c>
      <c r="F44" t="s">
        <v>553</v>
      </c>
      <c r="G44" t="s">
        <v>657</v>
      </c>
      <c r="H44" t="s">
        <v>377</v>
      </c>
      <c r="I44">
        <v>381</v>
      </c>
      <c r="J44">
        <v>31</v>
      </c>
      <c r="K44" t="s">
        <v>380</v>
      </c>
      <c r="L44">
        <v>8253</v>
      </c>
      <c r="M44" t="s">
        <v>354</v>
      </c>
      <c r="N44" t="s">
        <v>388</v>
      </c>
      <c r="O44">
        <v>1</v>
      </c>
      <c r="P44">
        <v>2</v>
      </c>
      <c r="Q44">
        <v>-99</v>
      </c>
      <c r="R44" t="s">
        <v>682</v>
      </c>
    </row>
    <row r="45" spans="1:18" x14ac:dyDescent="0.2">
      <c r="A45">
        <v>44</v>
      </c>
      <c r="B45">
        <v>39</v>
      </c>
      <c r="C45" t="s">
        <v>154</v>
      </c>
      <c r="D45" t="s">
        <v>52</v>
      </c>
      <c r="E45" t="s">
        <v>554</v>
      </c>
      <c r="F45" t="s">
        <v>555</v>
      </c>
      <c r="G45" t="s">
        <v>657</v>
      </c>
      <c r="H45" t="s">
        <v>377</v>
      </c>
      <c r="I45">
        <v>381</v>
      </c>
      <c r="J45">
        <v>33</v>
      </c>
      <c r="K45" t="s">
        <v>385</v>
      </c>
      <c r="L45">
        <v>8254</v>
      </c>
      <c r="M45" t="s">
        <v>355</v>
      </c>
      <c r="N45" t="s">
        <v>389</v>
      </c>
      <c r="O45">
        <v>1</v>
      </c>
      <c r="P45">
        <v>1</v>
      </c>
      <c r="Q45">
        <v>-99</v>
      </c>
      <c r="R45" t="s">
        <v>682</v>
      </c>
    </row>
    <row r="46" spans="1:18" x14ac:dyDescent="0.2">
      <c r="A46">
        <v>45</v>
      </c>
      <c r="B46">
        <v>-99</v>
      </c>
      <c r="C46" t="s">
        <v>154</v>
      </c>
      <c r="D46" t="s">
        <v>52</v>
      </c>
      <c r="E46" t="s">
        <v>556</v>
      </c>
      <c r="F46" t="s">
        <v>557</v>
      </c>
      <c r="G46" t="s">
        <v>657</v>
      </c>
      <c r="H46" t="s">
        <v>377</v>
      </c>
      <c r="I46">
        <v>381</v>
      </c>
      <c r="J46">
        <v>33</v>
      </c>
      <c r="K46" t="s">
        <v>385</v>
      </c>
      <c r="L46">
        <v>8254</v>
      </c>
      <c r="M46" t="s">
        <v>355</v>
      </c>
      <c r="N46" t="s">
        <v>389</v>
      </c>
      <c r="O46">
        <v>-99</v>
      </c>
      <c r="P46">
        <v>1</v>
      </c>
      <c r="Q46">
        <v>-99</v>
      </c>
      <c r="R46" t="s">
        <v>683</v>
      </c>
    </row>
    <row r="47" spans="1:18" x14ac:dyDescent="0.2">
      <c r="A47">
        <v>46</v>
      </c>
      <c r="B47">
        <v>52</v>
      </c>
      <c r="C47" t="s">
        <v>155</v>
      </c>
      <c r="D47" t="s">
        <v>41</v>
      </c>
      <c r="E47" t="s">
        <v>558</v>
      </c>
      <c r="F47" t="s">
        <v>559</v>
      </c>
      <c r="G47" t="s">
        <v>656</v>
      </c>
      <c r="H47" t="s">
        <v>370</v>
      </c>
      <c r="I47">
        <v>380</v>
      </c>
      <c r="J47">
        <v>32</v>
      </c>
      <c r="K47" t="s">
        <v>390</v>
      </c>
      <c r="L47">
        <v>8255</v>
      </c>
      <c r="M47" t="s">
        <v>356</v>
      </c>
      <c r="N47" t="s">
        <v>391</v>
      </c>
      <c r="O47">
        <v>1</v>
      </c>
      <c r="P47">
        <v>2</v>
      </c>
      <c r="Q47">
        <v>-99</v>
      </c>
      <c r="R47" t="s">
        <v>682</v>
      </c>
    </row>
    <row r="48" spans="1:18" x14ac:dyDescent="0.2">
      <c r="A48">
        <v>47</v>
      </c>
      <c r="B48">
        <v>53</v>
      </c>
      <c r="C48" t="s">
        <v>156</v>
      </c>
      <c r="D48" t="s">
        <v>51</v>
      </c>
      <c r="E48" t="s">
        <v>560</v>
      </c>
      <c r="F48" t="s">
        <v>561</v>
      </c>
      <c r="G48" t="s">
        <v>656</v>
      </c>
      <c r="H48" t="s">
        <v>370</v>
      </c>
      <c r="I48">
        <v>380</v>
      </c>
      <c r="J48">
        <v>32</v>
      </c>
      <c r="K48" t="s">
        <v>390</v>
      </c>
      <c r="L48">
        <v>8256</v>
      </c>
      <c r="M48" t="s">
        <v>330</v>
      </c>
      <c r="N48" t="s">
        <v>392</v>
      </c>
      <c r="O48">
        <v>1</v>
      </c>
      <c r="P48">
        <v>2</v>
      </c>
      <c r="Q48">
        <v>-99</v>
      </c>
      <c r="R48" t="s">
        <v>682</v>
      </c>
    </row>
    <row r="49" spans="1:18" x14ac:dyDescent="0.2">
      <c r="A49">
        <v>48</v>
      </c>
      <c r="B49">
        <v>54</v>
      </c>
      <c r="C49" t="s">
        <v>157</v>
      </c>
      <c r="D49" t="s">
        <v>56</v>
      </c>
      <c r="E49" t="s">
        <v>562</v>
      </c>
      <c r="F49" t="s">
        <v>563</v>
      </c>
      <c r="G49" t="s">
        <v>657</v>
      </c>
      <c r="H49" t="s">
        <v>377</v>
      </c>
      <c r="I49">
        <v>381</v>
      </c>
      <c r="J49">
        <v>31</v>
      </c>
      <c r="K49" t="s">
        <v>380</v>
      </c>
      <c r="L49">
        <v>8257</v>
      </c>
      <c r="M49" t="s">
        <v>336</v>
      </c>
      <c r="N49" t="s">
        <v>393</v>
      </c>
      <c r="O49">
        <v>1</v>
      </c>
      <c r="P49">
        <v>1</v>
      </c>
      <c r="Q49">
        <v>-99</v>
      </c>
      <c r="R49" t="s">
        <v>682</v>
      </c>
    </row>
    <row r="50" spans="1:18" x14ac:dyDescent="0.2">
      <c r="A50">
        <v>49</v>
      </c>
      <c r="B50">
        <v>-99</v>
      </c>
      <c r="C50" t="s">
        <v>157</v>
      </c>
      <c r="D50" t="s">
        <v>56</v>
      </c>
      <c r="E50" t="s">
        <v>564</v>
      </c>
      <c r="F50" t="s">
        <v>565</v>
      </c>
      <c r="G50" t="s">
        <v>657</v>
      </c>
      <c r="H50" t="s">
        <v>377</v>
      </c>
      <c r="I50">
        <v>381</v>
      </c>
      <c r="J50">
        <v>31</v>
      </c>
      <c r="K50" t="s">
        <v>380</v>
      </c>
      <c r="L50">
        <v>8257</v>
      </c>
      <c r="M50" t="s">
        <v>336</v>
      </c>
      <c r="N50" t="s">
        <v>393</v>
      </c>
      <c r="O50">
        <v>-99</v>
      </c>
      <c r="P50">
        <v>1</v>
      </c>
      <c r="Q50">
        <v>-99</v>
      </c>
      <c r="R50" t="s">
        <v>684</v>
      </c>
    </row>
    <row r="51" spans="1:18" x14ac:dyDescent="0.2">
      <c r="A51">
        <v>50</v>
      </c>
      <c r="B51">
        <v>55</v>
      </c>
      <c r="C51" t="s">
        <v>158</v>
      </c>
      <c r="D51" t="s">
        <v>40</v>
      </c>
      <c r="E51" t="s">
        <v>566</v>
      </c>
      <c r="F51" t="s">
        <v>567</v>
      </c>
      <c r="G51" t="s">
        <v>658</v>
      </c>
      <c r="H51" t="s">
        <v>386</v>
      </c>
      <c r="I51">
        <v>382</v>
      </c>
      <c r="J51">
        <v>32</v>
      </c>
      <c r="K51" t="s">
        <v>390</v>
      </c>
      <c r="L51">
        <v>8258</v>
      </c>
      <c r="M51" t="s">
        <v>349</v>
      </c>
      <c r="N51" t="s">
        <v>394</v>
      </c>
      <c r="O51">
        <v>1</v>
      </c>
      <c r="P51">
        <v>2</v>
      </c>
      <c r="Q51">
        <v>-99</v>
      </c>
      <c r="R51" t="s">
        <v>682</v>
      </c>
    </row>
    <row r="52" spans="1:18" x14ac:dyDescent="0.2">
      <c r="A52">
        <v>51</v>
      </c>
      <c r="B52">
        <v>56</v>
      </c>
      <c r="C52" t="s">
        <v>159</v>
      </c>
      <c r="D52" t="s">
        <v>45</v>
      </c>
      <c r="E52" t="s">
        <v>568</v>
      </c>
      <c r="F52" t="s">
        <v>569</v>
      </c>
      <c r="G52" t="s">
        <v>656</v>
      </c>
      <c r="H52" t="s">
        <v>370</v>
      </c>
      <c r="I52">
        <v>380</v>
      </c>
      <c r="J52">
        <v>32</v>
      </c>
      <c r="K52" t="s">
        <v>390</v>
      </c>
      <c r="L52">
        <v>8259</v>
      </c>
      <c r="M52" t="s">
        <v>326</v>
      </c>
      <c r="N52" t="s">
        <v>395</v>
      </c>
      <c r="O52">
        <v>1</v>
      </c>
      <c r="P52">
        <v>2</v>
      </c>
      <c r="Q52">
        <v>-99</v>
      </c>
      <c r="R52" t="s">
        <v>682</v>
      </c>
    </row>
    <row r="53" spans="1:18" x14ac:dyDescent="0.2">
      <c r="A53">
        <v>52</v>
      </c>
      <c r="B53">
        <v>57</v>
      </c>
      <c r="C53" t="s">
        <v>160</v>
      </c>
      <c r="D53" t="s">
        <v>59</v>
      </c>
      <c r="E53" t="s">
        <v>570</v>
      </c>
      <c r="F53" t="s">
        <v>571</v>
      </c>
      <c r="G53" t="s">
        <v>658</v>
      </c>
      <c r="H53" t="s">
        <v>386</v>
      </c>
      <c r="I53">
        <v>382</v>
      </c>
      <c r="J53">
        <v>32</v>
      </c>
      <c r="K53" t="s">
        <v>390</v>
      </c>
      <c r="L53">
        <v>8260</v>
      </c>
      <c r="M53" t="s">
        <v>316</v>
      </c>
      <c r="N53" t="s">
        <v>396</v>
      </c>
      <c r="O53">
        <v>1</v>
      </c>
      <c r="P53">
        <v>1</v>
      </c>
      <c r="Q53">
        <v>-99</v>
      </c>
      <c r="R53" t="s">
        <v>682</v>
      </c>
    </row>
    <row r="54" spans="1:18" x14ac:dyDescent="0.2">
      <c r="A54">
        <v>53</v>
      </c>
      <c r="B54">
        <v>-99</v>
      </c>
      <c r="C54" t="s">
        <v>160</v>
      </c>
      <c r="D54" t="s">
        <v>59</v>
      </c>
      <c r="E54" t="s">
        <v>572</v>
      </c>
      <c r="F54" t="s">
        <v>212</v>
      </c>
      <c r="G54" t="s">
        <v>658</v>
      </c>
      <c r="H54" t="s">
        <v>386</v>
      </c>
      <c r="I54">
        <v>382</v>
      </c>
      <c r="J54">
        <v>32</v>
      </c>
      <c r="K54" t="s">
        <v>390</v>
      </c>
      <c r="L54">
        <v>8260</v>
      </c>
      <c r="M54" t="s">
        <v>316</v>
      </c>
      <c r="N54" t="s">
        <v>396</v>
      </c>
      <c r="O54">
        <v>-99</v>
      </c>
      <c r="P54">
        <v>1</v>
      </c>
      <c r="Q54">
        <v>-99</v>
      </c>
      <c r="R54" t="s">
        <v>211</v>
      </c>
    </row>
    <row r="55" spans="1:18" x14ac:dyDescent="0.2">
      <c r="A55">
        <v>54</v>
      </c>
      <c r="B55">
        <v>58</v>
      </c>
      <c r="C55" t="s">
        <v>161</v>
      </c>
      <c r="D55" t="s">
        <v>78</v>
      </c>
      <c r="E55" t="s">
        <v>573</v>
      </c>
      <c r="F55" t="s">
        <v>574</v>
      </c>
      <c r="G55" t="s">
        <v>658</v>
      </c>
      <c r="H55" t="s">
        <v>386</v>
      </c>
      <c r="I55">
        <v>382</v>
      </c>
      <c r="J55">
        <v>32</v>
      </c>
      <c r="K55" t="s">
        <v>390</v>
      </c>
      <c r="L55">
        <v>8261</v>
      </c>
      <c r="M55" t="s">
        <v>339</v>
      </c>
      <c r="N55" t="s">
        <v>397</v>
      </c>
      <c r="O55">
        <v>1</v>
      </c>
      <c r="P55">
        <v>2</v>
      </c>
      <c r="Q55">
        <v>-99</v>
      </c>
      <c r="R55" t="s">
        <v>682</v>
      </c>
    </row>
    <row r="56" spans="1:18" x14ac:dyDescent="0.2">
      <c r="A56">
        <v>55</v>
      </c>
      <c r="B56">
        <v>59</v>
      </c>
      <c r="C56" t="s">
        <v>162</v>
      </c>
      <c r="D56" t="s">
        <v>44</v>
      </c>
      <c r="E56" t="s">
        <v>575</v>
      </c>
      <c r="F56" t="s">
        <v>576</v>
      </c>
      <c r="G56" t="s">
        <v>658</v>
      </c>
      <c r="H56" t="s">
        <v>386</v>
      </c>
      <c r="I56">
        <v>382</v>
      </c>
      <c r="J56">
        <v>32</v>
      </c>
      <c r="K56" t="s">
        <v>390</v>
      </c>
      <c r="L56">
        <v>8262</v>
      </c>
      <c r="M56" t="s">
        <v>363</v>
      </c>
      <c r="N56" t="s">
        <v>399</v>
      </c>
      <c r="O56">
        <v>1</v>
      </c>
      <c r="P56">
        <v>2</v>
      </c>
      <c r="Q56">
        <v>-99</v>
      </c>
      <c r="R56" t="s">
        <v>682</v>
      </c>
    </row>
    <row r="57" spans="1:18" x14ac:dyDescent="0.2">
      <c r="A57">
        <v>56</v>
      </c>
      <c r="B57">
        <v>60</v>
      </c>
      <c r="C57" t="s">
        <v>163</v>
      </c>
      <c r="D57" t="s">
        <v>53</v>
      </c>
      <c r="E57" t="s">
        <v>577</v>
      </c>
      <c r="F57" t="s">
        <v>578</v>
      </c>
      <c r="G57" t="s">
        <v>658</v>
      </c>
      <c r="H57" t="s">
        <v>386</v>
      </c>
      <c r="I57">
        <v>382</v>
      </c>
      <c r="J57">
        <v>32</v>
      </c>
      <c r="K57" t="s">
        <v>390</v>
      </c>
      <c r="L57">
        <v>8263</v>
      </c>
      <c r="M57" t="s">
        <v>322</v>
      </c>
      <c r="N57" t="s">
        <v>400</v>
      </c>
      <c r="O57">
        <v>1</v>
      </c>
      <c r="P57">
        <v>2</v>
      </c>
      <c r="Q57">
        <v>-99</v>
      </c>
      <c r="R57" t="s">
        <v>682</v>
      </c>
    </row>
    <row r="58" spans="1:18" x14ac:dyDescent="0.2">
      <c r="A58">
        <v>57</v>
      </c>
      <c r="B58">
        <v>84</v>
      </c>
      <c r="C58" t="s">
        <v>164</v>
      </c>
      <c r="D58" t="s">
        <v>79</v>
      </c>
      <c r="E58" t="s">
        <v>579</v>
      </c>
      <c r="F58" t="s">
        <v>580</v>
      </c>
      <c r="G58" t="s">
        <v>658</v>
      </c>
      <c r="H58" t="s">
        <v>386</v>
      </c>
      <c r="I58">
        <v>382</v>
      </c>
      <c r="J58">
        <v>32</v>
      </c>
      <c r="K58" t="s">
        <v>390</v>
      </c>
      <c r="L58">
        <v>8264</v>
      </c>
      <c r="M58" t="s">
        <v>333</v>
      </c>
      <c r="N58" t="s">
        <v>401</v>
      </c>
      <c r="O58">
        <v>1</v>
      </c>
      <c r="P58">
        <v>1</v>
      </c>
      <c r="Q58">
        <v>-99</v>
      </c>
      <c r="R58" t="s">
        <v>682</v>
      </c>
    </row>
    <row r="59" spans="1:18" x14ac:dyDescent="0.2">
      <c r="A59">
        <v>58</v>
      </c>
      <c r="B59">
        <v>-99</v>
      </c>
      <c r="C59" t="s">
        <v>164</v>
      </c>
      <c r="D59" t="s">
        <v>79</v>
      </c>
      <c r="E59" t="s">
        <v>581</v>
      </c>
      <c r="F59" t="s">
        <v>491</v>
      </c>
      <c r="G59" t="s">
        <v>658</v>
      </c>
      <c r="H59" t="s">
        <v>386</v>
      </c>
      <c r="I59">
        <v>382</v>
      </c>
      <c r="J59">
        <v>32</v>
      </c>
      <c r="K59" t="s">
        <v>390</v>
      </c>
      <c r="L59">
        <v>8264</v>
      </c>
      <c r="M59" t="s">
        <v>333</v>
      </c>
      <c r="N59" t="s">
        <v>401</v>
      </c>
      <c r="O59">
        <v>-99</v>
      </c>
      <c r="P59">
        <v>1</v>
      </c>
      <c r="Q59">
        <v>-99</v>
      </c>
      <c r="R59" t="s">
        <v>654</v>
      </c>
    </row>
    <row r="60" spans="1:18" x14ac:dyDescent="0.2">
      <c r="A60">
        <v>59</v>
      </c>
      <c r="B60">
        <v>-99</v>
      </c>
      <c r="C60" t="s">
        <v>164</v>
      </c>
      <c r="D60" t="s">
        <v>79</v>
      </c>
      <c r="E60" t="s">
        <v>582</v>
      </c>
      <c r="F60" t="s">
        <v>215</v>
      </c>
      <c r="G60" t="s">
        <v>658</v>
      </c>
      <c r="H60" t="s">
        <v>386</v>
      </c>
      <c r="I60">
        <v>382</v>
      </c>
      <c r="J60">
        <v>32</v>
      </c>
      <c r="K60" t="s">
        <v>390</v>
      </c>
      <c r="L60">
        <v>8264</v>
      </c>
      <c r="M60" t="s">
        <v>333</v>
      </c>
      <c r="N60" t="s">
        <v>401</v>
      </c>
      <c r="O60">
        <v>-99</v>
      </c>
      <c r="P60">
        <v>1</v>
      </c>
      <c r="Q60">
        <v>-99</v>
      </c>
      <c r="R60" t="s">
        <v>211</v>
      </c>
    </row>
    <row r="61" spans="1:18" x14ac:dyDescent="0.2">
      <c r="A61">
        <v>60</v>
      </c>
      <c r="B61">
        <v>100</v>
      </c>
      <c r="C61" t="s">
        <v>165</v>
      </c>
      <c r="D61" t="s">
        <v>43</v>
      </c>
      <c r="E61" t="s">
        <v>583</v>
      </c>
      <c r="F61" t="s">
        <v>584</v>
      </c>
      <c r="G61" t="s">
        <v>660</v>
      </c>
      <c r="H61" t="s">
        <v>402</v>
      </c>
      <c r="I61">
        <v>383</v>
      </c>
      <c r="J61">
        <v>33</v>
      </c>
      <c r="K61" t="s">
        <v>385</v>
      </c>
      <c r="L61">
        <v>8268</v>
      </c>
      <c r="M61" t="s">
        <v>350</v>
      </c>
      <c r="N61" t="s">
        <v>403</v>
      </c>
      <c r="O61">
        <v>1</v>
      </c>
      <c r="P61">
        <v>2</v>
      </c>
      <c r="Q61">
        <v>-99</v>
      </c>
      <c r="R61" t="s">
        <v>682</v>
      </c>
    </row>
    <row r="62" spans="1:18" x14ac:dyDescent="0.2">
      <c r="A62">
        <v>61</v>
      </c>
      <c r="B62">
        <v>101</v>
      </c>
      <c r="C62" t="s">
        <v>166</v>
      </c>
      <c r="D62" t="s">
        <v>34</v>
      </c>
      <c r="E62" t="s">
        <v>585</v>
      </c>
      <c r="F62" t="s">
        <v>586</v>
      </c>
      <c r="G62" t="s">
        <v>660</v>
      </c>
      <c r="H62" t="s">
        <v>402</v>
      </c>
      <c r="I62">
        <v>383</v>
      </c>
      <c r="J62">
        <v>34</v>
      </c>
      <c r="K62" t="s">
        <v>404</v>
      </c>
      <c r="L62">
        <v>8269</v>
      </c>
      <c r="M62" t="s">
        <v>318</v>
      </c>
      <c r="N62" t="s">
        <v>405</v>
      </c>
      <c r="O62">
        <v>1</v>
      </c>
      <c r="P62">
        <v>2</v>
      </c>
      <c r="Q62">
        <v>-99</v>
      </c>
      <c r="R62" t="s">
        <v>682</v>
      </c>
    </row>
    <row r="63" spans="1:18" x14ac:dyDescent="0.2">
      <c r="A63">
        <v>62</v>
      </c>
      <c r="B63">
        <v>102</v>
      </c>
      <c r="C63" t="s">
        <v>167</v>
      </c>
      <c r="D63" t="s">
        <v>73</v>
      </c>
      <c r="E63" t="s">
        <v>587</v>
      </c>
      <c r="F63" t="s">
        <v>588</v>
      </c>
      <c r="G63" t="s">
        <v>660</v>
      </c>
      <c r="H63" t="s">
        <v>402</v>
      </c>
      <c r="I63">
        <v>383</v>
      </c>
      <c r="J63">
        <v>33</v>
      </c>
      <c r="K63" t="s">
        <v>385</v>
      </c>
      <c r="L63">
        <v>8270</v>
      </c>
      <c r="M63" t="s">
        <v>344</v>
      </c>
      <c r="N63" t="s">
        <v>406</v>
      </c>
      <c r="O63">
        <v>1</v>
      </c>
      <c r="P63">
        <v>1</v>
      </c>
      <c r="Q63">
        <v>-99</v>
      </c>
      <c r="R63" t="s">
        <v>682</v>
      </c>
    </row>
    <row r="64" spans="1:18" x14ac:dyDescent="0.2">
      <c r="A64">
        <v>63</v>
      </c>
      <c r="B64">
        <v>-99</v>
      </c>
      <c r="C64" t="s">
        <v>167</v>
      </c>
      <c r="D64" t="s">
        <v>73</v>
      </c>
      <c r="E64" t="s">
        <v>589</v>
      </c>
      <c r="F64" t="s">
        <v>214</v>
      </c>
      <c r="G64" t="s">
        <v>660</v>
      </c>
      <c r="H64" t="s">
        <v>402</v>
      </c>
      <c r="I64">
        <v>383</v>
      </c>
      <c r="J64">
        <v>33</v>
      </c>
      <c r="K64" t="s">
        <v>385</v>
      </c>
      <c r="L64">
        <v>8270</v>
      </c>
      <c r="M64" t="s">
        <v>344</v>
      </c>
      <c r="N64" t="s">
        <v>406</v>
      </c>
      <c r="O64">
        <v>-99</v>
      </c>
      <c r="P64">
        <v>1</v>
      </c>
      <c r="Q64">
        <v>-99</v>
      </c>
      <c r="R64" t="s">
        <v>679</v>
      </c>
    </row>
    <row r="65" spans="1:18" x14ac:dyDescent="0.2">
      <c r="A65">
        <v>64</v>
      </c>
      <c r="B65">
        <v>103</v>
      </c>
      <c r="C65" t="s">
        <v>168</v>
      </c>
      <c r="D65" t="s">
        <v>65</v>
      </c>
      <c r="E65" t="s">
        <v>590</v>
      </c>
      <c r="F65" t="s">
        <v>591</v>
      </c>
      <c r="G65" t="s">
        <v>660</v>
      </c>
      <c r="H65" t="s">
        <v>402</v>
      </c>
      <c r="I65">
        <v>383</v>
      </c>
      <c r="J65">
        <v>34</v>
      </c>
      <c r="K65" t="s">
        <v>404</v>
      </c>
      <c r="L65">
        <v>8272</v>
      </c>
      <c r="M65" t="s">
        <v>332</v>
      </c>
      <c r="N65" t="s">
        <v>407</v>
      </c>
      <c r="O65">
        <v>1</v>
      </c>
      <c r="P65">
        <v>2</v>
      </c>
      <c r="Q65">
        <v>-99</v>
      </c>
      <c r="R65" t="s">
        <v>682</v>
      </c>
    </row>
    <row r="66" spans="1:18" x14ac:dyDescent="0.2">
      <c r="A66">
        <v>65</v>
      </c>
      <c r="B66">
        <v>104</v>
      </c>
      <c r="C66" t="s">
        <v>169</v>
      </c>
      <c r="D66" t="s">
        <v>55</v>
      </c>
      <c r="E66" t="s">
        <v>592</v>
      </c>
      <c r="F66" t="s">
        <v>593</v>
      </c>
      <c r="G66" t="s">
        <v>660</v>
      </c>
      <c r="H66" t="s">
        <v>402</v>
      </c>
      <c r="I66">
        <v>383</v>
      </c>
      <c r="J66">
        <v>34</v>
      </c>
      <c r="K66" t="s">
        <v>404</v>
      </c>
      <c r="L66">
        <v>8221</v>
      </c>
      <c r="M66" t="s">
        <v>332</v>
      </c>
      <c r="N66" t="s">
        <v>407</v>
      </c>
      <c r="O66">
        <v>1</v>
      </c>
      <c r="P66">
        <v>2</v>
      </c>
      <c r="Q66">
        <v>-99</v>
      </c>
      <c r="R66" t="s">
        <v>682</v>
      </c>
    </row>
    <row r="67" spans="1:18" x14ac:dyDescent="0.2">
      <c r="A67">
        <v>66</v>
      </c>
      <c r="B67">
        <v>196</v>
      </c>
      <c r="C67" t="s">
        <v>170</v>
      </c>
      <c r="D67" t="s">
        <v>67</v>
      </c>
      <c r="E67" t="s">
        <v>594</v>
      </c>
      <c r="F67" t="s">
        <v>595</v>
      </c>
      <c r="G67" t="s">
        <v>660</v>
      </c>
      <c r="H67" t="s">
        <v>402</v>
      </c>
      <c r="I67">
        <v>383</v>
      </c>
      <c r="J67">
        <v>34</v>
      </c>
      <c r="K67" t="s">
        <v>404</v>
      </c>
      <c r="L67">
        <v>8202</v>
      </c>
      <c r="M67" t="s">
        <v>345</v>
      </c>
      <c r="N67" t="s">
        <v>426</v>
      </c>
      <c r="O67">
        <v>1</v>
      </c>
      <c r="P67">
        <v>2</v>
      </c>
      <c r="Q67">
        <v>-99</v>
      </c>
      <c r="R67" t="s">
        <v>682</v>
      </c>
    </row>
    <row r="68" spans="1:18" x14ac:dyDescent="0.2">
      <c r="A68">
        <v>67</v>
      </c>
      <c r="B68">
        <v>110</v>
      </c>
      <c r="C68" t="s">
        <v>171</v>
      </c>
      <c r="D68" t="s">
        <v>76</v>
      </c>
      <c r="E68" t="s">
        <v>596</v>
      </c>
      <c r="F68" t="s">
        <v>597</v>
      </c>
      <c r="G68" t="s">
        <v>660</v>
      </c>
      <c r="H68" t="s">
        <v>402</v>
      </c>
      <c r="I68">
        <v>383</v>
      </c>
      <c r="J68">
        <v>34</v>
      </c>
      <c r="K68" t="s">
        <v>404</v>
      </c>
      <c r="L68">
        <v>8203</v>
      </c>
      <c r="M68" t="s">
        <v>329</v>
      </c>
      <c r="N68" t="s">
        <v>83</v>
      </c>
      <c r="O68">
        <v>1</v>
      </c>
      <c r="P68">
        <v>1</v>
      </c>
      <c r="Q68">
        <v>-99</v>
      </c>
      <c r="R68" t="s">
        <v>682</v>
      </c>
    </row>
    <row r="69" spans="1:18" x14ac:dyDescent="0.2">
      <c r="A69">
        <v>68</v>
      </c>
      <c r="B69">
        <v>-99</v>
      </c>
      <c r="C69" t="s">
        <v>171</v>
      </c>
      <c r="D69" t="s">
        <v>76</v>
      </c>
      <c r="E69" t="s">
        <v>598</v>
      </c>
      <c r="F69" t="s">
        <v>599</v>
      </c>
      <c r="G69" t="s">
        <v>660</v>
      </c>
      <c r="H69" t="s">
        <v>402</v>
      </c>
      <c r="I69">
        <v>383</v>
      </c>
      <c r="J69">
        <v>34</v>
      </c>
      <c r="K69" t="s">
        <v>404</v>
      </c>
      <c r="L69">
        <v>8203</v>
      </c>
      <c r="M69" t="s">
        <v>329</v>
      </c>
      <c r="N69" t="s">
        <v>83</v>
      </c>
      <c r="O69">
        <v>-99</v>
      </c>
      <c r="P69">
        <v>1</v>
      </c>
      <c r="Q69">
        <v>-99</v>
      </c>
      <c r="R69" t="s">
        <v>398</v>
      </c>
    </row>
    <row r="70" spans="1:18" x14ac:dyDescent="0.2">
      <c r="A70">
        <v>69</v>
      </c>
      <c r="B70">
        <v>111</v>
      </c>
      <c r="C70" t="s">
        <v>172</v>
      </c>
      <c r="D70" t="s">
        <v>37</v>
      </c>
      <c r="E70" t="s">
        <v>600</v>
      </c>
      <c r="F70" t="s">
        <v>601</v>
      </c>
      <c r="G70" t="s">
        <v>660</v>
      </c>
      <c r="H70" t="s">
        <v>402</v>
      </c>
      <c r="I70">
        <v>383</v>
      </c>
      <c r="J70">
        <v>34</v>
      </c>
      <c r="K70" t="s">
        <v>404</v>
      </c>
      <c r="L70">
        <v>8204</v>
      </c>
      <c r="M70" t="s">
        <v>334</v>
      </c>
      <c r="N70" t="s">
        <v>408</v>
      </c>
      <c r="O70">
        <v>1</v>
      </c>
      <c r="P70">
        <v>2</v>
      </c>
      <c r="Q70">
        <v>-99</v>
      </c>
      <c r="R70" t="s">
        <v>682</v>
      </c>
    </row>
    <row r="71" spans="1:18" x14ac:dyDescent="0.2">
      <c r="A71">
        <v>70</v>
      </c>
      <c r="B71">
        <v>112</v>
      </c>
      <c r="C71" t="s">
        <v>173</v>
      </c>
      <c r="D71" t="s">
        <v>69</v>
      </c>
      <c r="E71" t="s">
        <v>602</v>
      </c>
      <c r="F71" t="s">
        <v>603</v>
      </c>
      <c r="G71" t="s">
        <v>660</v>
      </c>
      <c r="H71" t="s">
        <v>402</v>
      </c>
      <c r="I71">
        <v>383</v>
      </c>
      <c r="J71">
        <v>34</v>
      </c>
      <c r="K71" t="s">
        <v>404</v>
      </c>
      <c r="L71">
        <v>8205</v>
      </c>
      <c r="M71" t="s">
        <v>351</v>
      </c>
      <c r="N71" t="s">
        <v>409</v>
      </c>
      <c r="O71">
        <v>1</v>
      </c>
      <c r="P71">
        <v>2</v>
      </c>
      <c r="Q71">
        <v>-99</v>
      </c>
      <c r="R71" t="s">
        <v>682</v>
      </c>
    </row>
    <row r="72" spans="1:18" x14ac:dyDescent="0.2">
      <c r="A72">
        <v>71</v>
      </c>
      <c r="B72">
        <v>113</v>
      </c>
      <c r="C72" t="s">
        <v>174</v>
      </c>
      <c r="D72" t="s">
        <v>82</v>
      </c>
      <c r="E72" t="s">
        <v>604</v>
      </c>
      <c r="F72" t="s">
        <v>605</v>
      </c>
      <c r="G72" t="s">
        <v>658</v>
      </c>
      <c r="H72" t="s">
        <v>386</v>
      </c>
      <c r="I72">
        <v>382</v>
      </c>
      <c r="J72">
        <v>33</v>
      </c>
      <c r="K72" t="s">
        <v>385</v>
      </c>
      <c r="L72">
        <v>8206</v>
      </c>
      <c r="M72" t="s">
        <v>327</v>
      </c>
      <c r="N72" t="s">
        <v>410</v>
      </c>
      <c r="O72">
        <v>1</v>
      </c>
      <c r="P72">
        <v>2</v>
      </c>
      <c r="Q72">
        <v>-99</v>
      </c>
      <c r="R72" t="s">
        <v>682</v>
      </c>
    </row>
    <row r="73" spans="1:18" x14ac:dyDescent="0.2">
      <c r="A73">
        <v>72</v>
      </c>
      <c r="B73">
        <v>114</v>
      </c>
      <c r="C73" t="s">
        <v>175</v>
      </c>
      <c r="D73" t="s">
        <v>54</v>
      </c>
      <c r="E73" t="s">
        <v>606</v>
      </c>
      <c r="F73" t="s">
        <v>607</v>
      </c>
      <c r="G73" t="s">
        <v>658</v>
      </c>
      <c r="H73" t="s">
        <v>386</v>
      </c>
      <c r="I73">
        <v>382</v>
      </c>
      <c r="J73">
        <v>33</v>
      </c>
      <c r="K73" t="s">
        <v>385</v>
      </c>
      <c r="L73">
        <v>8207</v>
      </c>
      <c r="M73" t="s">
        <v>315</v>
      </c>
      <c r="N73" t="s">
        <v>411</v>
      </c>
      <c r="O73">
        <v>1</v>
      </c>
      <c r="P73">
        <v>2</v>
      </c>
      <c r="Q73">
        <v>-99</v>
      </c>
      <c r="R73" t="s">
        <v>682</v>
      </c>
    </row>
    <row r="74" spans="1:18" x14ac:dyDescent="0.2">
      <c r="A74">
        <v>73</v>
      </c>
      <c r="B74">
        <v>115</v>
      </c>
      <c r="C74" t="s">
        <v>176</v>
      </c>
      <c r="D74" t="s">
        <v>27</v>
      </c>
      <c r="E74" t="s">
        <v>608</v>
      </c>
      <c r="F74" t="s">
        <v>609</v>
      </c>
      <c r="G74" t="s">
        <v>658</v>
      </c>
      <c r="H74" t="s">
        <v>386</v>
      </c>
      <c r="I74">
        <v>382</v>
      </c>
      <c r="J74">
        <v>33</v>
      </c>
      <c r="K74" t="s">
        <v>385</v>
      </c>
      <c r="L74">
        <v>8208</v>
      </c>
      <c r="M74" t="s">
        <v>338</v>
      </c>
      <c r="N74" t="s">
        <v>412</v>
      </c>
      <c r="O74">
        <v>1</v>
      </c>
      <c r="P74">
        <v>2</v>
      </c>
      <c r="Q74">
        <v>-99</v>
      </c>
      <c r="R74" t="s">
        <v>682</v>
      </c>
    </row>
    <row r="75" spans="1:18" x14ac:dyDescent="0.2">
      <c r="A75">
        <v>74</v>
      </c>
      <c r="B75">
        <v>116</v>
      </c>
      <c r="C75" t="s">
        <v>177</v>
      </c>
      <c r="D75" t="s">
        <v>71</v>
      </c>
      <c r="E75" t="s">
        <v>610</v>
      </c>
      <c r="F75" t="s">
        <v>611</v>
      </c>
      <c r="G75" t="s">
        <v>660</v>
      </c>
      <c r="H75" t="s">
        <v>402</v>
      </c>
      <c r="I75">
        <v>383</v>
      </c>
      <c r="J75">
        <v>34</v>
      </c>
      <c r="K75" t="s">
        <v>404</v>
      </c>
      <c r="L75">
        <v>8210</v>
      </c>
      <c r="M75" t="s">
        <v>328</v>
      </c>
      <c r="N75" t="s">
        <v>413</v>
      </c>
      <c r="O75">
        <v>1</v>
      </c>
      <c r="P75">
        <v>2</v>
      </c>
      <c r="Q75">
        <v>-99</v>
      </c>
      <c r="R75" t="s">
        <v>682</v>
      </c>
    </row>
    <row r="76" spans="1:18" x14ac:dyDescent="0.2">
      <c r="A76">
        <v>75</v>
      </c>
      <c r="B76">
        <v>197</v>
      </c>
      <c r="C76" t="s">
        <v>178</v>
      </c>
      <c r="D76" t="s">
        <v>75</v>
      </c>
      <c r="E76" t="s">
        <v>612</v>
      </c>
      <c r="F76" t="s">
        <v>613</v>
      </c>
      <c r="G76" t="s">
        <v>657</v>
      </c>
      <c r="H76" t="s">
        <v>377</v>
      </c>
      <c r="I76">
        <v>381</v>
      </c>
      <c r="J76">
        <v>31</v>
      </c>
      <c r="K76" t="s">
        <v>380</v>
      </c>
      <c r="L76">
        <v>8211</v>
      </c>
      <c r="M76" t="s">
        <v>331</v>
      </c>
      <c r="N76" t="s">
        <v>427</v>
      </c>
      <c r="O76">
        <v>1</v>
      </c>
      <c r="P76">
        <v>2</v>
      </c>
      <c r="Q76">
        <v>-99</v>
      </c>
      <c r="R76" t="s">
        <v>682</v>
      </c>
    </row>
    <row r="77" spans="1:18" x14ac:dyDescent="0.2">
      <c r="A77">
        <v>76</v>
      </c>
      <c r="B77">
        <v>119</v>
      </c>
      <c r="C77" t="s">
        <v>179</v>
      </c>
      <c r="D77" t="s">
        <v>58</v>
      </c>
      <c r="E77" t="s">
        <v>614</v>
      </c>
      <c r="F77" t="s">
        <v>615</v>
      </c>
      <c r="G77" t="s">
        <v>660</v>
      </c>
      <c r="H77" t="s">
        <v>402</v>
      </c>
      <c r="I77">
        <v>383</v>
      </c>
      <c r="J77">
        <v>34</v>
      </c>
      <c r="K77" t="s">
        <v>404</v>
      </c>
      <c r="L77">
        <v>8223</v>
      </c>
      <c r="M77" t="s">
        <v>616</v>
      </c>
      <c r="N77" t="s">
        <v>617</v>
      </c>
      <c r="O77">
        <v>1</v>
      </c>
      <c r="P77">
        <v>2</v>
      </c>
      <c r="Q77">
        <v>-99</v>
      </c>
      <c r="R77" t="s">
        <v>682</v>
      </c>
    </row>
    <row r="78" spans="1:18" x14ac:dyDescent="0.2">
      <c r="A78">
        <v>77</v>
      </c>
      <c r="B78">
        <v>131</v>
      </c>
      <c r="C78" t="s">
        <v>180</v>
      </c>
      <c r="D78" t="s">
        <v>49</v>
      </c>
      <c r="E78" t="s">
        <v>618</v>
      </c>
      <c r="F78" t="s">
        <v>619</v>
      </c>
      <c r="G78" t="s">
        <v>658</v>
      </c>
      <c r="H78" t="s">
        <v>386</v>
      </c>
      <c r="I78">
        <v>382</v>
      </c>
      <c r="J78">
        <v>33</v>
      </c>
      <c r="K78" t="s">
        <v>385</v>
      </c>
      <c r="L78">
        <v>8226</v>
      </c>
      <c r="M78" t="s">
        <v>327</v>
      </c>
      <c r="N78" t="s">
        <v>410</v>
      </c>
      <c r="O78">
        <v>1</v>
      </c>
      <c r="P78">
        <v>2</v>
      </c>
      <c r="Q78">
        <v>-99</v>
      </c>
      <c r="R78" t="s">
        <v>682</v>
      </c>
    </row>
    <row r="79" spans="1:18" x14ac:dyDescent="0.2">
      <c r="A79">
        <v>78</v>
      </c>
      <c r="B79">
        <v>132</v>
      </c>
      <c r="C79" t="s">
        <v>669</v>
      </c>
      <c r="D79" t="s">
        <v>430</v>
      </c>
      <c r="E79" t="s">
        <v>620</v>
      </c>
      <c r="F79" t="s">
        <v>670</v>
      </c>
      <c r="G79" t="s">
        <v>657</v>
      </c>
      <c r="H79" t="s">
        <v>377</v>
      </c>
      <c r="I79">
        <v>381</v>
      </c>
      <c r="J79">
        <v>30</v>
      </c>
      <c r="K79" t="s">
        <v>369</v>
      </c>
      <c r="L79">
        <v>8229</v>
      </c>
      <c r="M79" t="s">
        <v>346</v>
      </c>
      <c r="N79" t="s">
        <v>414</v>
      </c>
      <c r="O79">
        <v>1</v>
      </c>
      <c r="P79">
        <v>2</v>
      </c>
      <c r="Q79">
        <v>-99</v>
      </c>
      <c r="R79" t="s">
        <v>682</v>
      </c>
    </row>
    <row r="80" spans="1:18" x14ac:dyDescent="0.2">
      <c r="A80">
        <v>79</v>
      </c>
      <c r="B80">
        <v>143</v>
      </c>
      <c r="C80" t="s">
        <v>181</v>
      </c>
      <c r="D80" t="s">
        <v>57</v>
      </c>
      <c r="E80" t="s">
        <v>621</v>
      </c>
      <c r="F80" t="s">
        <v>622</v>
      </c>
      <c r="G80" t="s">
        <v>656</v>
      </c>
      <c r="H80" t="s">
        <v>370</v>
      </c>
      <c r="I80">
        <v>380</v>
      </c>
      <c r="J80">
        <v>30</v>
      </c>
      <c r="K80" t="s">
        <v>369</v>
      </c>
      <c r="L80">
        <v>8230</v>
      </c>
      <c r="M80" t="s">
        <v>359</v>
      </c>
      <c r="N80" t="s">
        <v>415</v>
      </c>
      <c r="O80">
        <v>1</v>
      </c>
      <c r="P80">
        <v>2</v>
      </c>
      <c r="Q80">
        <v>-99</v>
      </c>
      <c r="R80" t="s">
        <v>682</v>
      </c>
    </row>
    <row r="81" spans="1:18" x14ac:dyDescent="0.2">
      <c r="A81">
        <v>80</v>
      </c>
      <c r="B81">
        <v>144</v>
      </c>
      <c r="C81" t="s">
        <v>671</v>
      </c>
      <c r="D81" t="s">
        <v>489</v>
      </c>
      <c r="E81" t="s">
        <v>671</v>
      </c>
      <c r="F81" t="s">
        <v>489</v>
      </c>
      <c r="G81" t="s">
        <v>668</v>
      </c>
      <c r="H81" t="s">
        <v>8</v>
      </c>
      <c r="I81">
        <v>-99</v>
      </c>
      <c r="J81">
        <v>35</v>
      </c>
      <c r="K81" t="s">
        <v>8</v>
      </c>
      <c r="L81">
        <v>8215</v>
      </c>
      <c r="M81" t="s">
        <v>339</v>
      </c>
      <c r="N81" t="s">
        <v>397</v>
      </c>
      <c r="O81">
        <v>1</v>
      </c>
      <c r="P81">
        <v>2</v>
      </c>
      <c r="Q81">
        <v>-99</v>
      </c>
      <c r="R81" t="s">
        <v>654</v>
      </c>
    </row>
    <row r="82" spans="1:18" x14ac:dyDescent="0.2">
      <c r="A82">
        <v>81</v>
      </c>
      <c r="B82">
        <v>145</v>
      </c>
      <c r="C82" t="s">
        <v>182</v>
      </c>
      <c r="D82" t="s">
        <v>74</v>
      </c>
      <c r="E82" t="s">
        <v>623</v>
      </c>
      <c r="F82" t="s">
        <v>624</v>
      </c>
      <c r="G82" t="s">
        <v>660</v>
      </c>
      <c r="H82" t="s">
        <v>402</v>
      </c>
      <c r="I82">
        <v>383</v>
      </c>
      <c r="J82">
        <v>34</v>
      </c>
      <c r="K82" t="s">
        <v>404</v>
      </c>
      <c r="L82">
        <v>8231</v>
      </c>
      <c r="M82" t="s">
        <v>332</v>
      </c>
      <c r="N82" t="s">
        <v>407</v>
      </c>
      <c r="O82">
        <v>1</v>
      </c>
      <c r="P82">
        <v>1</v>
      </c>
      <c r="Q82">
        <v>-99</v>
      </c>
      <c r="R82" t="s">
        <v>682</v>
      </c>
    </row>
    <row r="83" spans="1:18" x14ac:dyDescent="0.2">
      <c r="A83">
        <v>82</v>
      </c>
      <c r="B83">
        <v>-99</v>
      </c>
      <c r="C83" t="s">
        <v>182</v>
      </c>
      <c r="D83" t="s">
        <v>74</v>
      </c>
      <c r="E83" t="s">
        <v>625</v>
      </c>
      <c r="F83" t="s">
        <v>956</v>
      </c>
      <c r="G83" t="s">
        <v>660</v>
      </c>
      <c r="H83" t="s">
        <v>402</v>
      </c>
      <c r="I83">
        <v>383</v>
      </c>
      <c r="J83">
        <v>34</v>
      </c>
      <c r="K83" t="s">
        <v>404</v>
      </c>
      <c r="L83">
        <v>8231</v>
      </c>
      <c r="M83" t="s">
        <v>332</v>
      </c>
      <c r="N83" t="s">
        <v>407</v>
      </c>
      <c r="O83">
        <v>-99</v>
      </c>
      <c r="P83">
        <v>1</v>
      </c>
      <c r="Q83">
        <v>-99</v>
      </c>
      <c r="R83" t="s">
        <v>680</v>
      </c>
    </row>
    <row r="84" spans="1:18" x14ac:dyDescent="0.2">
      <c r="A84">
        <v>83</v>
      </c>
      <c r="B84">
        <v>151</v>
      </c>
      <c r="C84" t="s">
        <v>672</v>
      </c>
      <c r="D84" t="s">
        <v>1057</v>
      </c>
      <c r="E84" t="s">
        <v>672</v>
      </c>
      <c r="F84" t="s">
        <v>490</v>
      </c>
      <c r="G84" t="s">
        <v>668</v>
      </c>
      <c r="H84" t="s">
        <v>8</v>
      </c>
      <c r="I84">
        <v>380</v>
      </c>
      <c r="J84">
        <v>35</v>
      </c>
      <c r="K84" t="s">
        <v>8</v>
      </c>
      <c r="L84">
        <v>3180155</v>
      </c>
      <c r="M84" t="s">
        <v>346</v>
      </c>
      <c r="N84" t="s">
        <v>414</v>
      </c>
      <c r="O84">
        <v>1</v>
      </c>
      <c r="P84">
        <v>2</v>
      </c>
      <c r="Q84">
        <v>-99</v>
      </c>
      <c r="R84" t="s">
        <v>654</v>
      </c>
    </row>
    <row r="85" spans="1:18" x14ac:dyDescent="0.2">
      <c r="A85">
        <v>84</v>
      </c>
      <c r="B85">
        <v>152</v>
      </c>
      <c r="C85" t="s">
        <v>183</v>
      </c>
      <c r="D85" t="s">
        <v>81</v>
      </c>
      <c r="E85" t="s">
        <v>626</v>
      </c>
      <c r="F85" t="s">
        <v>627</v>
      </c>
      <c r="G85" t="s">
        <v>656</v>
      </c>
      <c r="H85" t="s">
        <v>370</v>
      </c>
      <c r="I85">
        <v>380</v>
      </c>
      <c r="J85">
        <v>30</v>
      </c>
      <c r="K85" t="s">
        <v>369</v>
      </c>
      <c r="L85">
        <v>8234</v>
      </c>
      <c r="M85" t="s">
        <v>352</v>
      </c>
      <c r="N85" t="s">
        <v>416</v>
      </c>
      <c r="O85">
        <v>1</v>
      </c>
      <c r="P85">
        <v>2</v>
      </c>
      <c r="Q85">
        <v>-99</v>
      </c>
      <c r="R85" t="s">
        <v>682</v>
      </c>
    </row>
    <row r="86" spans="1:18" x14ac:dyDescent="0.2">
      <c r="A86">
        <v>85</v>
      </c>
      <c r="B86">
        <v>153</v>
      </c>
      <c r="C86" t="s">
        <v>92</v>
      </c>
      <c r="D86" t="s">
        <v>138</v>
      </c>
      <c r="E86" t="s">
        <v>628</v>
      </c>
      <c r="F86" t="s">
        <v>629</v>
      </c>
      <c r="G86" t="s">
        <v>656</v>
      </c>
      <c r="H86" t="s">
        <v>370</v>
      </c>
      <c r="I86">
        <v>380</v>
      </c>
      <c r="J86">
        <v>30</v>
      </c>
      <c r="K86" t="s">
        <v>369</v>
      </c>
      <c r="L86">
        <v>8236</v>
      </c>
      <c r="M86" t="s">
        <v>365</v>
      </c>
      <c r="N86" t="s">
        <v>417</v>
      </c>
      <c r="O86">
        <v>1</v>
      </c>
      <c r="P86">
        <v>2</v>
      </c>
      <c r="Q86">
        <v>-99</v>
      </c>
      <c r="R86" t="s">
        <v>682</v>
      </c>
    </row>
    <row r="87" spans="1:18" x14ac:dyDescent="0.2">
      <c r="A87">
        <v>86</v>
      </c>
      <c r="B87">
        <v>154</v>
      </c>
      <c r="C87" t="s">
        <v>185</v>
      </c>
      <c r="D87" t="s">
        <v>184</v>
      </c>
      <c r="E87" t="s">
        <v>630</v>
      </c>
      <c r="F87" t="s">
        <v>631</v>
      </c>
      <c r="G87" t="s">
        <v>660</v>
      </c>
      <c r="H87" t="s">
        <v>402</v>
      </c>
      <c r="I87">
        <v>383</v>
      </c>
      <c r="J87">
        <v>33</v>
      </c>
      <c r="K87" t="s">
        <v>385</v>
      </c>
      <c r="L87">
        <v>8265</v>
      </c>
      <c r="M87" t="s">
        <v>358</v>
      </c>
      <c r="N87" t="s">
        <v>418</v>
      </c>
      <c r="O87">
        <v>1</v>
      </c>
      <c r="P87">
        <v>2</v>
      </c>
      <c r="Q87">
        <v>-99</v>
      </c>
      <c r="R87" t="s">
        <v>682</v>
      </c>
    </row>
    <row r="88" spans="1:18" x14ac:dyDescent="0.2">
      <c r="A88">
        <v>87</v>
      </c>
      <c r="B88">
        <v>155</v>
      </c>
      <c r="C88" t="s">
        <v>186</v>
      </c>
      <c r="D88" t="s">
        <v>46</v>
      </c>
      <c r="E88" t="s">
        <v>632</v>
      </c>
      <c r="F88" t="s">
        <v>633</v>
      </c>
      <c r="G88" t="s">
        <v>658</v>
      </c>
      <c r="H88" t="s">
        <v>386</v>
      </c>
      <c r="I88">
        <v>382</v>
      </c>
      <c r="J88">
        <v>32</v>
      </c>
      <c r="K88" t="s">
        <v>390</v>
      </c>
      <c r="L88">
        <v>8266</v>
      </c>
      <c r="M88" t="s">
        <v>323</v>
      </c>
      <c r="N88" t="s">
        <v>419</v>
      </c>
      <c r="O88">
        <v>1</v>
      </c>
      <c r="P88">
        <v>2</v>
      </c>
      <c r="Q88">
        <v>-99</v>
      </c>
      <c r="R88" t="s">
        <v>682</v>
      </c>
    </row>
    <row r="89" spans="1:18" x14ac:dyDescent="0.2">
      <c r="A89">
        <v>88</v>
      </c>
      <c r="B89">
        <v>156</v>
      </c>
      <c r="C89" t="s">
        <v>187</v>
      </c>
      <c r="D89" t="s">
        <v>77</v>
      </c>
      <c r="E89" t="s">
        <v>634</v>
      </c>
      <c r="F89" t="s">
        <v>635</v>
      </c>
      <c r="G89" t="s">
        <v>658</v>
      </c>
      <c r="H89" t="s">
        <v>386</v>
      </c>
      <c r="I89">
        <v>382</v>
      </c>
      <c r="J89">
        <v>32</v>
      </c>
      <c r="K89" t="s">
        <v>390</v>
      </c>
      <c r="L89">
        <v>8267</v>
      </c>
      <c r="M89" t="s">
        <v>341</v>
      </c>
      <c r="N89" t="s">
        <v>420</v>
      </c>
      <c r="O89">
        <v>1</v>
      </c>
      <c r="P89">
        <v>2</v>
      </c>
      <c r="Q89">
        <v>-99</v>
      </c>
      <c r="R89" t="s">
        <v>682</v>
      </c>
    </row>
    <row r="90" spans="1:18" x14ac:dyDescent="0.2">
      <c r="A90">
        <v>89</v>
      </c>
      <c r="B90">
        <v>157</v>
      </c>
      <c r="C90" t="s">
        <v>673</v>
      </c>
      <c r="D90" t="s">
        <v>39</v>
      </c>
      <c r="E90" t="s">
        <v>636</v>
      </c>
      <c r="F90" t="s">
        <v>637</v>
      </c>
      <c r="G90" t="s">
        <v>660</v>
      </c>
      <c r="H90" t="s">
        <v>402</v>
      </c>
      <c r="I90">
        <v>383</v>
      </c>
      <c r="J90">
        <v>33</v>
      </c>
      <c r="K90" t="s">
        <v>385</v>
      </c>
      <c r="L90">
        <v>8271</v>
      </c>
      <c r="M90" t="s">
        <v>319</v>
      </c>
      <c r="N90" t="s">
        <v>421</v>
      </c>
      <c r="O90">
        <v>1</v>
      </c>
      <c r="P90">
        <v>2</v>
      </c>
      <c r="Q90">
        <v>-99</v>
      </c>
      <c r="R90" t="s">
        <v>682</v>
      </c>
    </row>
    <row r="91" spans="1:18" x14ac:dyDescent="0.2">
      <c r="A91">
        <v>90</v>
      </c>
      <c r="B91">
        <v>158</v>
      </c>
      <c r="C91" t="s">
        <v>188</v>
      </c>
      <c r="D91" t="s">
        <v>84</v>
      </c>
      <c r="E91" t="s">
        <v>638</v>
      </c>
      <c r="F91" t="s">
        <v>639</v>
      </c>
      <c r="G91" t="s">
        <v>658</v>
      </c>
      <c r="H91" t="s">
        <v>386</v>
      </c>
      <c r="I91">
        <v>382</v>
      </c>
      <c r="J91">
        <v>32</v>
      </c>
      <c r="K91" t="s">
        <v>390</v>
      </c>
      <c r="L91">
        <v>8209</v>
      </c>
      <c r="M91" t="s">
        <v>364</v>
      </c>
      <c r="N91" t="s">
        <v>422</v>
      </c>
      <c r="O91">
        <v>1</v>
      </c>
      <c r="P91">
        <v>2</v>
      </c>
      <c r="Q91">
        <v>-99</v>
      </c>
      <c r="R91" t="s">
        <v>682</v>
      </c>
    </row>
    <row r="92" spans="1:18" x14ac:dyDescent="0.2">
      <c r="A92">
        <v>91</v>
      </c>
      <c r="B92">
        <v>198</v>
      </c>
      <c r="C92" t="s">
        <v>189</v>
      </c>
      <c r="D92" t="s">
        <v>48</v>
      </c>
      <c r="E92" t="s">
        <v>640</v>
      </c>
      <c r="F92" t="s">
        <v>641</v>
      </c>
      <c r="G92" t="s">
        <v>660</v>
      </c>
      <c r="H92" t="s">
        <v>402</v>
      </c>
      <c r="I92">
        <v>383</v>
      </c>
      <c r="J92">
        <v>34</v>
      </c>
      <c r="K92" t="s">
        <v>404</v>
      </c>
      <c r="L92">
        <v>8224</v>
      </c>
      <c r="M92" t="s">
        <v>361</v>
      </c>
      <c r="N92" t="s">
        <v>428</v>
      </c>
      <c r="O92">
        <v>1</v>
      </c>
      <c r="P92">
        <v>2</v>
      </c>
      <c r="Q92">
        <v>-99</v>
      </c>
      <c r="R92" t="s">
        <v>682</v>
      </c>
    </row>
    <row r="93" spans="1:18" x14ac:dyDescent="0.2">
      <c r="A93">
        <v>92</v>
      </c>
      <c r="B93">
        <v>161</v>
      </c>
      <c r="C93" t="s">
        <v>190</v>
      </c>
      <c r="D93" t="s">
        <v>85</v>
      </c>
      <c r="E93" t="s">
        <v>642</v>
      </c>
      <c r="F93" t="s">
        <v>643</v>
      </c>
      <c r="G93" t="s">
        <v>656</v>
      </c>
      <c r="H93" t="s">
        <v>370</v>
      </c>
      <c r="I93">
        <v>380</v>
      </c>
      <c r="J93">
        <v>30</v>
      </c>
      <c r="K93" t="s">
        <v>369</v>
      </c>
      <c r="L93">
        <v>8225</v>
      </c>
      <c r="M93" t="s">
        <v>324</v>
      </c>
      <c r="N93" t="s">
        <v>423</v>
      </c>
      <c r="O93">
        <v>1</v>
      </c>
      <c r="P93">
        <v>2</v>
      </c>
      <c r="Q93">
        <v>-99</v>
      </c>
      <c r="R93" t="s">
        <v>682</v>
      </c>
    </row>
    <row r="94" spans="1:18" x14ac:dyDescent="0.2">
      <c r="A94">
        <v>93</v>
      </c>
      <c r="B94">
        <v>162</v>
      </c>
      <c r="C94" t="s">
        <v>191</v>
      </c>
      <c r="D94" t="s">
        <v>35</v>
      </c>
      <c r="E94" t="s">
        <v>644</v>
      </c>
      <c r="F94" t="s">
        <v>645</v>
      </c>
      <c r="G94" t="s">
        <v>660</v>
      </c>
      <c r="H94" t="s">
        <v>402</v>
      </c>
      <c r="I94">
        <v>383</v>
      </c>
      <c r="J94">
        <v>34</v>
      </c>
      <c r="K94" t="s">
        <v>404</v>
      </c>
      <c r="L94">
        <v>8227</v>
      </c>
      <c r="M94" t="s">
        <v>477</v>
      </c>
      <c r="N94" t="s">
        <v>424</v>
      </c>
      <c r="O94">
        <v>1</v>
      </c>
      <c r="P94">
        <v>2</v>
      </c>
      <c r="Q94">
        <v>-99</v>
      </c>
      <c r="R94" t="s">
        <v>682</v>
      </c>
    </row>
    <row r="95" spans="1:18" x14ac:dyDescent="0.2">
      <c r="A95">
        <v>94</v>
      </c>
      <c r="B95">
        <v>-99</v>
      </c>
      <c r="C95" t="s">
        <v>674</v>
      </c>
      <c r="D95" t="s">
        <v>8</v>
      </c>
      <c r="E95" t="s">
        <v>675</v>
      </c>
      <c r="F95" t="s">
        <v>227</v>
      </c>
      <c r="G95" t="s">
        <v>654</v>
      </c>
      <c r="H95" t="s">
        <v>8</v>
      </c>
      <c r="I95">
        <v>-99</v>
      </c>
      <c r="J95">
        <v>-99</v>
      </c>
      <c r="K95" t="s">
        <v>8</v>
      </c>
      <c r="L95">
        <v>-99</v>
      </c>
      <c r="M95" t="s">
        <v>654</v>
      </c>
      <c r="N95" t="s">
        <v>654</v>
      </c>
      <c r="O95">
        <v>-99</v>
      </c>
      <c r="P95">
        <v>-99</v>
      </c>
      <c r="Q95">
        <v>-99</v>
      </c>
      <c r="R95" t="s">
        <v>211</v>
      </c>
    </row>
    <row r="96" spans="1:18" x14ac:dyDescent="0.2">
      <c r="A96">
        <v>95</v>
      </c>
      <c r="B96">
        <v>-99</v>
      </c>
      <c r="C96" t="s">
        <v>674</v>
      </c>
      <c r="D96" t="s">
        <v>8</v>
      </c>
      <c r="E96" t="s">
        <v>676</v>
      </c>
      <c r="F96" t="s">
        <v>307</v>
      </c>
      <c r="G96" t="s">
        <v>654</v>
      </c>
      <c r="H96" t="s">
        <v>8</v>
      </c>
      <c r="I96">
        <v>-99</v>
      </c>
      <c r="J96">
        <v>-99</v>
      </c>
      <c r="K96" t="s">
        <v>8</v>
      </c>
      <c r="L96">
        <v>-99</v>
      </c>
      <c r="M96" t="s">
        <v>654</v>
      </c>
      <c r="N96" t="s">
        <v>654</v>
      </c>
      <c r="O96">
        <v>-99</v>
      </c>
      <c r="P96">
        <v>-99</v>
      </c>
      <c r="Q96">
        <v>-99</v>
      </c>
      <c r="R96" t="s">
        <v>679</v>
      </c>
    </row>
    <row r="97" spans="1:18" x14ac:dyDescent="0.2">
      <c r="A97">
        <v>96</v>
      </c>
      <c r="B97">
        <v>-99</v>
      </c>
      <c r="C97" t="s">
        <v>674</v>
      </c>
      <c r="D97" t="s">
        <v>8</v>
      </c>
      <c r="E97" t="s">
        <v>677</v>
      </c>
      <c r="F97" t="s">
        <v>306</v>
      </c>
      <c r="G97" t="s">
        <v>654</v>
      </c>
      <c r="H97" t="s">
        <v>8</v>
      </c>
      <c r="I97">
        <v>-99</v>
      </c>
      <c r="J97">
        <v>-99</v>
      </c>
      <c r="K97" t="s">
        <v>8</v>
      </c>
      <c r="L97">
        <v>-99</v>
      </c>
      <c r="M97" t="s">
        <v>654</v>
      </c>
      <c r="N97" t="s">
        <v>654</v>
      </c>
      <c r="O97">
        <v>-99</v>
      </c>
      <c r="P97">
        <v>-99</v>
      </c>
      <c r="Q97">
        <v>-99</v>
      </c>
      <c r="R97" t="s">
        <v>680</v>
      </c>
    </row>
    <row r="98" spans="1:18" x14ac:dyDescent="0.2">
      <c r="A98">
        <v>97</v>
      </c>
      <c r="B98">
        <v>-99</v>
      </c>
      <c r="C98" t="s">
        <v>666</v>
      </c>
      <c r="D98" t="s">
        <v>1056</v>
      </c>
      <c r="E98" t="s">
        <v>666</v>
      </c>
      <c r="F98" t="s">
        <v>1056</v>
      </c>
      <c r="G98" t="s">
        <v>654</v>
      </c>
      <c r="H98" t="s">
        <v>654</v>
      </c>
      <c r="I98">
        <v>-99</v>
      </c>
      <c r="J98">
        <v>35</v>
      </c>
      <c r="K98" t="s">
        <v>8</v>
      </c>
      <c r="L98">
        <v>-99</v>
      </c>
      <c r="M98" t="s">
        <v>654</v>
      </c>
      <c r="N98" t="s">
        <v>654</v>
      </c>
      <c r="O98">
        <v>-99</v>
      </c>
      <c r="P98">
        <v>-99</v>
      </c>
      <c r="Q98">
        <v>3</v>
      </c>
      <c r="R98" t="s">
        <v>654</v>
      </c>
    </row>
    <row r="99" spans="1:18" x14ac:dyDescent="0.2">
      <c r="A99">
        <v>98</v>
      </c>
      <c r="B99">
        <v>-99</v>
      </c>
      <c r="C99" t="s">
        <v>674</v>
      </c>
      <c r="D99" t="s">
        <v>8</v>
      </c>
      <c r="E99" t="s">
        <v>685</v>
      </c>
      <c r="F99" t="s">
        <v>686</v>
      </c>
      <c r="G99" t="s">
        <v>654</v>
      </c>
      <c r="H99" t="s">
        <v>8</v>
      </c>
      <c r="I99">
        <v>-99</v>
      </c>
      <c r="J99">
        <v>-99</v>
      </c>
      <c r="K99" t="s">
        <v>8</v>
      </c>
      <c r="L99">
        <v>-99</v>
      </c>
      <c r="M99" t="s">
        <v>654</v>
      </c>
      <c r="N99" t="s">
        <v>654</v>
      </c>
      <c r="O99">
        <v>-99</v>
      </c>
      <c r="P99">
        <v>-99</v>
      </c>
      <c r="Q99">
        <v>-99</v>
      </c>
      <c r="R99" t="s">
        <v>682</v>
      </c>
    </row>
    <row r="100" spans="1:18" x14ac:dyDescent="0.2">
      <c r="A100">
        <v>99</v>
      </c>
      <c r="B100">
        <v>250</v>
      </c>
      <c r="C100" t="s">
        <v>654</v>
      </c>
      <c r="D100" t="s">
        <v>35</v>
      </c>
      <c r="E100" t="s">
        <v>721</v>
      </c>
      <c r="F100" t="s">
        <v>687</v>
      </c>
      <c r="G100" t="s">
        <v>654</v>
      </c>
      <c r="H100" t="s">
        <v>402</v>
      </c>
      <c r="I100">
        <v>-99</v>
      </c>
      <c r="J100">
        <v>-99</v>
      </c>
      <c r="K100" t="s">
        <v>404</v>
      </c>
      <c r="L100">
        <v>-99</v>
      </c>
      <c r="M100" t="s">
        <v>654</v>
      </c>
      <c r="N100" t="s">
        <v>654</v>
      </c>
      <c r="O100">
        <v>-99</v>
      </c>
      <c r="P100">
        <v>-99</v>
      </c>
      <c r="Q100">
        <v>-99</v>
      </c>
      <c r="R100" t="s">
        <v>688</v>
      </c>
    </row>
    <row r="101" spans="1:18" x14ac:dyDescent="0.2">
      <c r="A101">
        <v>100</v>
      </c>
      <c r="B101">
        <v>256</v>
      </c>
      <c r="C101" t="s">
        <v>654</v>
      </c>
      <c r="D101" t="s">
        <v>215</v>
      </c>
      <c r="E101" t="s">
        <v>722</v>
      </c>
      <c r="F101" t="s">
        <v>689</v>
      </c>
      <c r="G101" t="s">
        <v>654</v>
      </c>
      <c r="H101" t="s">
        <v>386</v>
      </c>
      <c r="I101">
        <v>-99</v>
      </c>
      <c r="J101">
        <v>-99</v>
      </c>
      <c r="K101" t="s">
        <v>390</v>
      </c>
      <c r="L101">
        <v>-99</v>
      </c>
      <c r="M101" t="s">
        <v>654</v>
      </c>
      <c r="N101" t="s">
        <v>654</v>
      </c>
      <c r="O101">
        <v>-99</v>
      </c>
      <c r="P101">
        <v>-99</v>
      </c>
      <c r="Q101">
        <v>-99</v>
      </c>
      <c r="R101" t="s">
        <v>688</v>
      </c>
    </row>
    <row r="102" spans="1:18" x14ac:dyDescent="0.2">
      <c r="A102">
        <v>101</v>
      </c>
      <c r="B102">
        <v>257</v>
      </c>
      <c r="C102" t="s">
        <v>654</v>
      </c>
      <c r="D102" t="s">
        <v>212</v>
      </c>
      <c r="E102" t="s">
        <v>723</v>
      </c>
      <c r="F102" t="s">
        <v>690</v>
      </c>
      <c r="G102" t="s">
        <v>654</v>
      </c>
      <c r="H102" t="s">
        <v>386</v>
      </c>
      <c r="I102">
        <v>-99</v>
      </c>
      <c r="J102">
        <v>-99</v>
      </c>
      <c r="K102" t="s">
        <v>390</v>
      </c>
      <c r="L102">
        <v>-99</v>
      </c>
      <c r="M102" t="s">
        <v>654</v>
      </c>
      <c r="N102" t="s">
        <v>654</v>
      </c>
      <c r="O102">
        <v>-99</v>
      </c>
      <c r="P102">
        <v>-99</v>
      </c>
      <c r="Q102">
        <v>-99</v>
      </c>
      <c r="R102" t="s">
        <v>688</v>
      </c>
    </row>
    <row r="103" spans="1:18" x14ac:dyDescent="0.2">
      <c r="A103">
        <v>102</v>
      </c>
      <c r="B103">
        <v>258</v>
      </c>
      <c r="C103" t="s">
        <v>654</v>
      </c>
      <c r="D103" t="s">
        <v>213</v>
      </c>
      <c r="E103" t="s">
        <v>724</v>
      </c>
      <c r="F103" t="s">
        <v>691</v>
      </c>
      <c r="G103" t="s">
        <v>654</v>
      </c>
      <c r="H103" t="s">
        <v>370</v>
      </c>
      <c r="I103">
        <v>-99</v>
      </c>
      <c r="J103">
        <v>-99</v>
      </c>
      <c r="K103" t="s">
        <v>369</v>
      </c>
      <c r="L103">
        <v>-99</v>
      </c>
      <c r="M103" t="s">
        <v>654</v>
      </c>
      <c r="N103" t="s">
        <v>654</v>
      </c>
      <c r="O103">
        <v>-99</v>
      </c>
      <c r="P103">
        <v>-99</v>
      </c>
      <c r="Q103">
        <v>-99</v>
      </c>
      <c r="R103" t="s">
        <v>688</v>
      </c>
    </row>
    <row r="104" spans="1:18" x14ac:dyDescent="0.2">
      <c r="A104">
        <v>103</v>
      </c>
      <c r="B104">
        <v>259</v>
      </c>
      <c r="C104" t="s">
        <v>654</v>
      </c>
      <c r="D104" t="s">
        <v>138</v>
      </c>
      <c r="E104" t="s">
        <v>725</v>
      </c>
      <c r="F104" t="s">
        <v>692</v>
      </c>
      <c r="G104" t="s">
        <v>654</v>
      </c>
      <c r="H104" t="s">
        <v>370</v>
      </c>
      <c r="I104">
        <v>-99</v>
      </c>
      <c r="J104">
        <v>-99</v>
      </c>
      <c r="K104" t="s">
        <v>369</v>
      </c>
      <c r="L104">
        <v>-99</v>
      </c>
      <c r="M104" t="s">
        <v>654</v>
      </c>
      <c r="N104" t="s">
        <v>654</v>
      </c>
      <c r="O104">
        <v>-99</v>
      </c>
      <c r="P104">
        <v>-99</v>
      </c>
      <c r="Q104">
        <v>-99</v>
      </c>
      <c r="R104" t="s">
        <v>688</v>
      </c>
    </row>
    <row r="105" spans="1:18" x14ac:dyDescent="0.2">
      <c r="A105">
        <v>104</v>
      </c>
      <c r="B105">
        <v>260</v>
      </c>
      <c r="C105" t="s">
        <v>654</v>
      </c>
      <c r="D105" t="s">
        <v>49</v>
      </c>
      <c r="E105" t="s">
        <v>726</v>
      </c>
      <c r="F105" t="s">
        <v>693</v>
      </c>
      <c r="G105" t="s">
        <v>654</v>
      </c>
      <c r="H105" t="s">
        <v>386</v>
      </c>
      <c r="I105">
        <v>-99</v>
      </c>
      <c r="J105">
        <v>-99</v>
      </c>
      <c r="K105" t="s">
        <v>385</v>
      </c>
      <c r="L105">
        <v>-99</v>
      </c>
      <c r="M105" t="s">
        <v>654</v>
      </c>
      <c r="N105" t="s">
        <v>654</v>
      </c>
      <c r="O105">
        <v>-99</v>
      </c>
      <c r="P105">
        <v>-99</v>
      </c>
      <c r="Q105">
        <v>-99</v>
      </c>
      <c r="R105" t="s">
        <v>688</v>
      </c>
    </row>
    <row r="106" spans="1:18" x14ac:dyDescent="0.2">
      <c r="A106">
        <v>105</v>
      </c>
      <c r="B106">
        <v>261</v>
      </c>
      <c r="C106" t="s">
        <v>654</v>
      </c>
      <c r="D106" t="s">
        <v>68</v>
      </c>
      <c r="E106" t="s">
        <v>727</v>
      </c>
      <c r="F106" t="s">
        <v>694</v>
      </c>
      <c r="G106" t="s">
        <v>654</v>
      </c>
      <c r="H106" t="s">
        <v>370</v>
      </c>
      <c r="I106">
        <v>-99</v>
      </c>
      <c r="J106">
        <v>-99</v>
      </c>
      <c r="K106" t="s">
        <v>369</v>
      </c>
      <c r="L106">
        <v>-99</v>
      </c>
      <c r="M106" t="s">
        <v>654</v>
      </c>
      <c r="N106" t="s">
        <v>654</v>
      </c>
      <c r="O106">
        <v>-99</v>
      </c>
      <c r="P106">
        <v>-99</v>
      </c>
      <c r="Q106">
        <v>-99</v>
      </c>
      <c r="R106" t="s">
        <v>688</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463</v>
      </c>
      <c r="B1" t="s">
        <v>457</v>
      </c>
      <c r="C1" t="s">
        <v>464</v>
      </c>
      <c r="D1" t="s">
        <v>465</v>
      </c>
      <c r="E1" t="s">
        <v>492</v>
      </c>
    </row>
    <row r="2" spans="1:5" x14ac:dyDescent="0.2">
      <c r="A2" t="s">
        <v>325</v>
      </c>
      <c r="B2" t="s">
        <v>371</v>
      </c>
      <c r="C2" t="s">
        <v>371</v>
      </c>
      <c r="D2" t="s">
        <v>466</v>
      </c>
      <c r="E2" t="s">
        <v>369</v>
      </c>
    </row>
    <row r="3" spans="1:5" x14ac:dyDescent="0.2">
      <c r="A3" t="s">
        <v>357</v>
      </c>
      <c r="B3" t="s">
        <v>374</v>
      </c>
      <c r="C3" t="s">
        <v>374</v>
      </c>
      <c r="D3" t="s">
        <v>466</v>
      </c>
      <c r="E3" t="s">
        <v>369</v>
      </c>
    </row>
    <row r="4" spans="1:5" x14ac:dyDescent="0.2">
      <c r="A4" t="s">
        <v>352</v>
      </c>
      <c r="B4" t="s">
        <v>416</v>
      </c>
      <c r="C4" t="s">
        <v>416</v>
      </c>
      <c r="D4" t="s">
        <v>466</v>
      </c>
      <c r="E4" t="s">
        <v>369</v>
      </c>
    </row>
    <row r="5" spans="1:5" x14ac:dyDescent="0.2">
      <c r="A5" t="s">
        <v>331</v>
      </c>
      <c r="B5" t="s">
        <v>427</v>
      </c>
      <c r="C5" t="s">
        <v>427</v>
      </c>
      <c r="D5" t="s">
        <v>467</v>
      </c>
      <c r="E5" t="s">
        <v>380</v>
      </c>
    </row>
    <row r="6" spans="1:5" x14ac:dyDescent="0.2">
      <c r="A6" t="s">
        <v>355</v>
      </c>
      <c r="B6" t="s">
        <v>389</v>
      </c>
      <c r="C6" t="s">
        <v>389</v>
      </c>
      <c r="D6" t="s">
        <v>467</v>
      </c>
      <c r="E6" t="s">
        <v>385</v>
      </c>
    </row>
    <row r="7" spans="1:5" x14ac:dyDescent="0.2">
      <c r="A7" t="s">
        <v>358</v>
      </c>
      <c r="B7" t="s">
        <v>418</v>
      </c>
      <c r="C7" t="s">
        <v>418</v>
      </c>
      <c r="D7" t="s">
        <v>469</v>
      </c>
      <c r="E7" t="s">
        <v>385</v>
      </c>
    </row>
    <row r="8" spans="1:5" x14ac:dyDescent="0.2">
      <c r="A8" t="s">
        <v>333</v>
      </c>
      <c r="B8" t="s">
        <v>401</v>
      </c>
      <c r="C8" t="s">
        <v>401</v>
      </c>
      <c r="D8" t="s">
        <v>470</v>
      </c>
      <c r="E8" t="s">
        <v>390</v>
      </c>
    </row>
    <row r="9" spans="1:5" x14ac:dyDescent="0.2">
      <c r="A9" t="s">
        <v>350</v>
      </c>
      <c r="B9" t="s">
        <v>403</v>
      </c>
      <c r="C9" t="s">
        <v>403</v>
      </c>
      <c r="D9" t="s">
        <v>469</v>
      </c>
      <c r="E9" t="s">
        <v>385</v>
      </c>
    </row>
    <row r="10" spans="1:5" x14ac:dyDescent="0.2">
      <c r="A10" t="s">
        <v>478</v>
      </c>
      <c r="B10" t="s">
        <v>479</v>
      </c>
      <c r="C10" t="s">
        <v>308</v>
      </c>
      <c r="D10" t="s">
        <v>454</v>
      </c>
      <c r="E10" t="s">
        <v>8</v>
      </c>
    </row>
    <row r="11" spans="1:5" x14ac:dyDescent="0.2">
      <c r="A11" t="s">
        <v>359</v>
      </c>
      <c r="B11" t="s">
        <v>415</v>
      </c>
      <c r="C11" t="s">
        <v>415</v>
      </c>
      <c r="D11" t="s">
        <v>466</v>
      </c>
      <c r="E11" t="s">
        <v>369</v>
      </c>
    </row>
    <row r="12" spans="1:5" x14ac:dyDescent="0.2">
      <c r="A12" t="s">
        <v>337</v>
      </c>
      <c r="B12" t="s">
        <v>379</v>
      </c>
      <c r="C12" t="s">
        <v>379</v>
      </c>
      <c r="D12" t="s">
        <v>467</v>
      </c>
      <c r="E12" t="s">
        <v>369</v>
      </c>
    </row>
    <row r="13" spans="1:5" x14ac:dyDescent="0.2">
      <c r="A13" t="s">
        <v>342</v>
      </c>
      <c r="B13" t="s">
        <v>376</v>
      </c>
      <c r="C13" t="s">
        <v>376</v>
      </c>
      <c r="D13" t="s">
        <v>466</v>
      </c>
      <c r="E13" t="s">
        <v>369</v>
      </c>
    </row>
    <row r="14" spans="1:5" x14ac:dyDescent="0.2">
      <c r="A14" t="s">
        <v>340</v>
      </c>
      <c r="B14" t="s">
        <v>383</v>
      </c>
      <c r="C14" t="s">
        <v>383</v>
      </c>
      <c r="D14" t="s">
        <v>467</v>
      </c>
      <c r="E14" t="s">
        <v>380</v>
      </c>
    </row>
    <row r="15" spans="1:5" x14ac:dyDescent="0.2">
      <c r="A15" t="s">
        <v>330</v>
      </c>
      <c r="B15" t="s">
        <v>392</v>
      </c>
      <c r="C15" t="s">
        <v>392</v>
      </c>
      <c r="D15" t="s">
        <v>466</v>
      </c>
      <c r="E15" t="s">
        <v>390</v>
      </c>
    </row>
    <row r="16" spans="1:5" x14ac:dyDescent="0.2">
      <c r="A16" t="s">
        <v>344</v>
      </c>
      <c r="B16" t="s">
        <v>406</v>
      </c>
      <c r="C16" t="s">
        <v>406</v>
      </c>
      <c r="D16" t="s">
        <v>469</v>
      </c>
      <c r="E16" t="s">
        <v>385</v>
      </c>
    </row>
    <row r="17" spans="1:5" x14ac:dyDescent="0.2">
      <c r="A17" t="s">
        <v>480</v>
      </c>
      <c r="B17" t="s">
        <v>481</v>
      </c>
      <c r="C17" t="s">
        <v>308</v>
      </c>
      <c r="D17" t="s">
        <v>454</v>
      </c>
      <c r="E17" t="s">
        <v>8</v>
      </c>
    </row>
    <row r="18" spans="1:5" x14ac:dyDescent="0.2">
      <c r="A18" t="s">
        <v>356</v>
      </c>
      <c r="B18" t="s">
        <v>391</v>
      </c>
      <c r="C18" t="s">
        <v>391</v>
      </c>
      <c r="D18" t="s">
        <v>466</v>
      </c>
      <c r="E18" t="s">
        <v>390</v>
      </c>
    </row>
    <row r="19" spans="1:5" x14ac:dyDescent="0.2">
      <c r="A19" t="s">
        <v>349</v>
      </c>
      <c r="B19" t="s">
        <v>394</v>
      </c>
      <c r="C19" t="s">
        <v>394</v>
      </c>
      <c r="D19" t="s">
        <v>470</v>
      </c>
      <c r="E19" t="s">
        <v>390</v>
      </c>
    </row>
    <row r="20" spans="1:5" x14ac:dyDescent="0.2">
      <c r="A20" t="s">
        <v>339</v>
      </c>
      <c r="B20" t="s">
        <v>397</v>
      </c>
      <c r="C20" t="s">
        <v>397</v>
      </c>
      <c r="D20" t="s">
        <v>470</v>
      </c>
      <c r="E20" t="s">
        <v>390</v>
      </c>
    </row>
    <row r="21" spans="1:5" x14ac:dyDescent="0.2">
      <c r="A21" t="s">
        <v>364</v>
      </c>
      <c r="B21" t="s">
        <v>422</v>
      </c>
      <c r="C21" t="s">
        <v>422</v>
      </c>
      <c r="D21" t="s">
        <v>470</v>
      </c>
      <c r="E21" t="s">
        <v>390</v>
      </c>
    </row>
    <row r="22" spans="1:5" x14ac:dyDescent="0.2">
      <c r="A22" t="s">
        <v>335</v>
      </c>
      <c r="B22" t="s">
        <v>63</v>
      </c>
      <c r="C22" t="s">
        <v>63</v>
      </c>
      <c r="D22" t="s">
        <v>466</v>
      </c>
      <c r="E22" t="s">
        <v>369</v>
      </c>
    </row>
    <row r="23" spans="1:5" x14ac:dyDescent="0.2">
      <c r="A23" t="s">
        <v>348</v>
      </c>
      <c r="B23" t="s">
        <v>382</v>
      </c>
      <c r="C23" t="s">
        <v>382</v>
      </c>
      <c r="D23" t="s">
        <v>308</v>
      </c>
      <c r="E23" t="s">
        <v>369</v>
      </c>
    </row>
    <row r="24" spans="1:5" x14ac:dyDescent="0.2">
      <c r="A24" t="s">
        <v>343</v>
      </c>
      <c r="B24" t="s">
        <v>384</v>
      </c>
      <c r="C24" t="s">
        <v>384</v>
      </c>
      <c r="D24" t="s">
        <v>467</v>
      </c>
      <c r="E24" t="s">
        <v>380</v>
      </c>
    </row>
    <row r="25" spans="1:5" x14ac:dyDescent="0.2">
      <c r="A25" t="s">
        <v>341</v>
      </c>
      <c r="B25" t="s">
        <v>420</v>
      </c>
      <c r="C25" t="s">
        <v>420</v>
      </c>
      <c r="D25" t="s">
        <v>470</v>
      </c>
      <c r="E25" t="s">
        <v>390</v>
      </c>
    </row>
    <row r="26" spans="1:5" x14ac:dyDescent="0.2">
      <c r="A26" t="s">
        <v>318</v>
      </c>
      <c r="B26" t="s">
        <v>405</v>
      </c>
      <c r="C26" t="s">
        <v>405</v>
      </c>
      <c r="D26" t="s">
        <v>469</v>
      </c>
      <c r="E26" t="s">
        <v>404</v>
      </c>
    </row>
    <row r="27" spans="1:5" x14ac:dyDescent="0.2">
      <c r="A27" t="s">
        <v>319</v>
      </c>
      <c r="B27" t="s">
        <v>421</v>
      </c>
      <c r="C27" t="s">
        <v>421</v>
      </c>
      <c r="D27" t="s">
        <v>469</v>
      </c>
      <c r="E27" t="s">
        <v>385</v>
      </c>
    </row>
    <row r="28" spans="1:5" x14ac:dyDescent="0.2">
      <c r="A28" t="s">
        <v>353</v>
      </c>
      <c r="B28" t="s">
        <v>373</v>
      </c>
      <c r="C28" t="s">
        <v>373</v>
      </c>
      <c r="D28" t="s">
        <v>466</v>
      </c>
      <c r="E28" t="s">
        <v>369</v>
      </c>
    </row>
    <row r="29" spans="1:5" x14ac:dyDescent="0.2">
      <c r="A29" t="s">
        <v>468</v>
      </c>
      <c r="B29" t="s">
        <v>454</v>
      </c>
      <c r="C29" t="s">
        <v>308</v>
      </c>
      <c r="D29" t="s">
        <v>454</v>
      </c>
      <c r="E29" t="s">
        <v>8</v>
      </c>
    </row>
    <row r="30" spans="1:5" x14ac:dyDescent="0.2">
      <c r="A30" t="s">
        <v>365</v>
      </c>
      <c r="B30" t="s">
        <v>417</v>
      </c>
      <c r="C30" t="s">
        <v>417</v>
      </c>
      <c r="D30" t="s">
        <v>466</v>
      </c>
      <c r="E30" t="s">
        <v>369</v>
      </c>
    </row>
    <row r="31" spans="1:5" x14ac:dyDescent="0.2">
      <c r="A31" t="s">
        <v>346</v>
      </c>
      <c r="B31" t="s">
        <v>414</v>
      </c>
      <c r="C31" t="s">
        <v>414</v>
      </c>
      <c r="D31" t="s">
        <v>308</v>
      </c>
      <c r="E31" t="s">
        <v>369</v>
      </c>
    </row>
    <row r="32" spans="1:5" x14ac:dyDescent="0.2">
      <c r="A32" t="s">
        <v>326</v>
      </c>
      <c r="B32" t="s">
        <v>395</v>
      </c>
      <c r="C32" t="s">
        <v>395</v>
      </c>
      <c r="D32" t="s">
        <v>466</v>
      </c>
      <c r="E32" t="s">
        <v>390</v>
      </c>
    </row>
    <row r="33" spans="1:5" x14ac:dyDescent="0.2">
      <c r="A33" t="s">
        <v>323</v>
      </c>
      <c r="B33" t="s">
        <v>419</v>
      </c>
      <c r="C33" t="s">
        <v>419</v>
      </c>
      <c r="D33" t="s">
        <v>470</v>
      </c>
      <c r="E33" t="s">
        <v>390</v>
      </c>
    </row>
    <row r="34" spans="1:5" x14ac:dyDescent="0.2">
      <c r="A34" t="s">
        <v>345</v>
      </c>
      <c r="B34" t="s">
        <v>426</v>
      </c>
      <c r="C34" t="s">
        <v>426</v>
      </c>
      <c r="D34" t="s">
        <v>469</v>
      </c>
      <c r="E34" t="s">
        <v>404</v>
      </c>
    </row>
    <row r="35" spans="1:5" x14ac:dyDescent="0.2">
      <c r="A35" t="s">
        <v>334</v>
      </c>
      <c r="B35" t="s">
        <v>408</v>
      </c>
      <c r="C35" t="s">
        <v>408</v>
      </c>
      <c r="D35" t="s">
        <v>469</v>
      </c>
      <c r="E35" t="s">
        <v>404</v>
      </c>
    </row>
    <row r="36" spans="1:5" x14ac:dyDescent="0.2">
      <c r="A36" t="s">
        <v>361</v>
      </c>
      <c r="B36" t="s">
        <v>428</v>
      </c>
      <c r="C36" t="s">
        <v>428</v>
      </c>
      <c r="D36" t="s">
        <v>469</v>
      </c>
      <c r="E36" t="s">
        <v>404</v>
      </c>
    </row>
    <row r="37" spans="1:5" x14ac:dyDescent="0.2">
      <c r="A37" t="s">
        <v>477</v>
      </c>
      <c r="B37" t="s">
        <v>424</v>
      </c>
      <c r="C37" t="s">
        <v>424</v>
      </c>
      <c r="D37" t="s">
        <v>469</v>
      </c>
      <c r="E37" t="s">
        <v>404</v>
      </c>
    </row>
    <row r="38" spans="1:5" x14ac:dyDescent="0.2">
      <c r="A38" t="s">
        <v>475</v>
      </c>
      <c r="B38" t="s">
        <v>476</v>
      </c>
      <c r="C38" t="s">
        <v>308</v>
      </c>
      <c r="D38" t="s">
        <v>454</v>
      </c>
      <c r="E38" t="s">
        <v>8</v>
      </c>
    </row>
    <row r="39" spans="1:5" x14ac:dyDescent="0.2">
      <c r="A39" t="s">
        <v>351</v>
      </c>
      <c r="B39" t="s">
        <v>409</v>
      </c>
      <c r="C39" t="s">
        <v>409</v>
      </c>
      <c r="D39" t="s">
        <v>469</v>
      </c>
      <c r="E39" t="s">
        <v>404</v>
      </c>
    </row>
    <row r="40" spans="1:5" x14ac:dyDescent="0.2">
      <c r="A40" t="s">
        <v>484</v>
      </c>
      <c r="B40" t="s">
        <v>485</v>
      </c>
      <c r="C40" t="s">
        <v>308</v>
      </c>
      <c r="D40" t="s">
        <v>454</v>
      </c>
      <c r="E40" t="s">
        <v>8</v>
      </c>
    </row>
    <row r="41" spans="1:5" x14ac:dyDescent="0.2">
      <c r="A41" t="s">
        <v>471</v>
      </c>
      <c r="B41" t="s">
        <v>472</v>
      </c>
      <c r="C41" t="s">
        <v>308</v>
      </c>
      <c r="D41" t="s">
        <v>454</v>
      </c>
      <c r="E41" t="s">
        <v>8</v>
      </c>
    </row>
    <row r="42" spans="1:5" x14ac:dyDescent="0.2">
      <c r="A42" t="s">
        <v>360</v>
      </c>
      <c r="B42" t="s">
        <v>372</v>
      </c>
      <c r="C42" t="s">
        <v>372</v>
      </c>
      <c r="D42" t="s">
        <v>466</v>
      </c>
      <c r="E42" t="s">
        <v>369</v>
      </c>
    </row>
    <row r="43" spans="1:5" x14ac:dyDescent="0.2">
      <c r="A43" t="s">
        <v>321</v>
      </c>
      <c r="B43" t="s">
        <v>378</v>
      </c>
      <c r="C43" t="s">
        <v>378</v>
      </c>
      <c r="D43" t="s">
        <v>467</v>
      </c>
      <c r="E43" t="s">
        <v>369</v>
      </c>
    </row>
    <row r="44" spans="1:5" x14ac:dyDescent="0.2">
      <c r="A44" t="s">
        <v>324</v>
      </c>
      <c r="B44" t="s">
        <v>423</v>
      </c>
      <c r="C44" t="s">
        <v>423</v>
      </c>
      <c r="D44" t="s">
        <v>466</v>
      </c>
      <c r="E44" t="s">
        <v>369</v>
      </c>
    </row>
    <row r="45" spans="1:5" x14ac:dyDescent="0.2">
      <c r="A45" t="s">
        <v>354</v>
      </c>
      <c r="B45" t="s">
        <v>388</v>
      </c>
      <c r="C45" t="s">
        <v>388</v>
      </c>
      <c r="D45" t="s">
        <v>467</v>
      </c>
      <c r="E45" t="s">
        <v>380</v>
      </c>
    </row>
    <row r="46" spans="1:5" x14ac:dyDescent="0.2">
      <c r="A46" t="s">
        <v>336</v>
      </c>
      <c r="B46" t="s">
        <v>393</v>
      </c>
      <c r="C46" t="s">
        <v>393</v>
      </c>
      <c r="D46" t="s">
        <v>467</v>
      </c>
      <c r="E46" t="s">
        <v>380</v>
      </c>
    </row>
    <row r="47" spans="1:5" x14ac:dyDescent="0.2">
      <c r="A47" t="s">
        <v>363</v>
      </c>
      <c r="B47" t="s">
        <v>399</v>
      </c>
      <c r="C47" t="s">
        <v>399</v>
      </c>
      <c r="D47" t="s">
        <v>470</v>
      </c>
      <c r="E47" t="s">
        <v>390</v>
      </c>
    </row>
    <row r="48" spans="1:5" x14ac:dyDescent="0.2">
      <c r="A48" t="s">
        <v>338</v>
      </c>
      <c r="B48" t="s">
        <v>412</v>
      </c>
      <c r="C48" t="s">
        <v>412</v>
      </c>
      <c r="D48" t="s">
        <v>470</v>
      </c>
      <c r="E48" t="s">
        <v>385</v>
      </c>
    </row>
    <row r="49" spans="1:5" x14ac:dyDescent="0.2">
      <c r="A49" t="s">
        <v>327</v>
      </c>
      <c r="B49" t="s">
        <v>410</v>
      </c>
      <c r="C49" t="s">
        <v>410</v>
      </c>
      <c r="D49" t="s">
        <v>470</v>
      </c>
      <c r="E49" t="s">
        <v>385</v>
      </c>
    </row>
    <row r="50" spans="1:5" x14ac:dyDescent="0.2">
      <c r="A50" t="s">
        <v>332</v>
      </c>
      <c r="B50" t="s">
        <v>407</v>
      </c>
      <c r="C50" t="s">
        <v>407</v>
      </c>
      <c r="D50" t="s">
        <v>469</v>
      </c>
      <c r="E50" t="s">
        <v>404</v>
      </c>
    </row>
    <row r="51" spans="1:5" x14ac:dyDescent="0.2">
      <c r="A51" t="s">
        <v>320</v>
      </c>
      <c r="B51" t="s">
        <v>387</v>
      </c>
      <c r="C51" t="s">
        <v>387</v>
      </c>
      <c r="D51" t="s">
        <v>470</v>
      </c>
      <c r="E51" t="s">
        <v>385</v>
      </c>
    </row>
    <row r="52" spans="1:5" x14ac:dyDescent="0.2">
      <c r="A52" t="s">
        <v>473</v>
      </c>
      <c r="B52" t="s">
        <v>474</v>
      </c>
      <c r="C52" t="s">
        <v>308</v>
      </c>
      <c r="D52" t="s">
        <v>454</v>
      </c>
      <c r="E52" t="s">
        <v>8</v>
      </c>
    </row>
    <row r="53" spans="1:5" x14ac:dyDescent="0.2">
      <c r="A53" t="s">
        <v>482</v>
      </c>
      <c r="B53" t="s">
        <v>483</v>
      </c>
      <c r="C53" t="s">
        <v>308</v>
      </c>
      <c r="D53" t="s">
        <v>454</v>
      </c>
      <c r="E53" t="s">
        <v>8</v>
      </c>
    </row>
    <row r="54" spans="1:5" x14ac:dyDescent="0.2">
      <c r="A54" t="s">
        <v>347</v>
      </c>
      <c r="B54" t="s">
        <v>375</v>
      </c>
      <c r="C54" t="s">
        <v>375</v>
      </c>
      <c r="D54" t="s">
        <v>466</v>
      </c>
      <c r="E54" t="s">
        <v>369</v>
      </c>
    </row>
    <row r="55" spans="1:5" x14ac:dyDescent="0.2">
      <c r="A55" t="s">
        <v>362</v>
      </c>
      <c r="B55" t="s">
        <v>381</v>
      </c>
      <c r="C55" t="s">
        <v>381</v>
      </c>
      <c r="D55" t="s">
        <v>467</v>
      </c>
      <c r="E55" t="s">
        <v>380</v>
      </c>
    </row>
    <row r="56" spans="1:5" x14ac:dyDescent="0.2">
      <c r="A56" t="s">
        <v>317</v>
      </c>
      <c r="B56" t="s">
        <v>425</v>
      </c>
      <c r="C56" t="s">
        <v>425</v>
      </c>
      <c r="D56" t="s">
        <v>467</v>
      </c>
      <c r="E56" t="s">
        <v>380</v>
      </c>
    </row>
    <row r="57" spans="1:5" x14ac:dyDescent="0.2">
      <c r="A57" t="s">
        <v>316</v>
      </c>
      <c r="B57" t="s">
        <v>396</v>
      </c>
      <c r="C57" t="s">
        <v>396</v>
      </c>
      <c r="D57" t="s">
        <v>470</v>
      </c>
      <c r="E57" t="s">
        <v>390</v>
      </c>
    </row>
    <row r="58" spans="1:5" x14ac:dyDescent="0.2">
      <c r="A58" t="s">
        <v>322</v>
      </c>
      <c r="B58" t="s">
        <v>400</v>
      </c>
      <c r="C58" t="s">
        <v>400</v>
      </c>
      <c r="D58" t="s">
        <v>470</v>
      </c>
      <c r="E58" t="s">
        <v>390</v>
      </c>
    </row>
    <row r="59" spans="1:5" x14ac:dyDescent="0.2">
      <c r="A59" t="s">
        <v>328</v>
      </c>
      <c r="B59" t="s">
        <v>413</v>
      </c>
      <c r="C59" t="s">
        <v>413</v>
      </c>
      <c r="D59" t="s">
        <v>469</v>
      </c>
      <c r="E59" t="s">
        <v>404</v>
      </c>
    </row>
    <row r="60" spans="1:5" x14ac:dyDescent="0.2">
      <c r="A60" t="s">
        <v>315</v>
      </c>
      <c r="B60" t="s">
        <v>411</v>
      </c>
      <c r="C60" t="s">
        <v>411</v>
      </c>
      <c r="D60" t="s">
        <v>470</v>
      </c>
      <c r="E60" t="s">
        <v>385</v>
      </c>
    </row>
    <row r="61" spans="1:5" x14ac:dyDescent="0.2">
      <c r="A61" t="s">
        <v>329</v>
      </c>
      <c r="B61" t="s">
        <v>83</v>
      </c>
      <c r="C61" t="s">
        <v>83</v>
      </c>
      <c r="D61" t="s">
        <v>469</v>
      </c>
      <c r="E61" t="s">
        <v>404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437</v>
      </c>
      <c r="D2" t="s">
        <v>438</v>
      </c>
      <c r="E2" t="s">
        <v>439</v>
      </c>
      <c r="F2" t="s">
        <v>440</v>
      </c>
      <c r="G2" t="s">
        <v>441</v>
      </c>
      <c r="H2" t="s">
        <v>442</v>
      </c>
      <c r="I2" t="s">
        <v>443</v>
      </c>
      <c r="J2" t="s">
        <v>444</v>
      </c>
      <c r="K2" t="s">
        <v>445</v>
      </c>
      <c r="L2" t="s">
        <v>446</v>
      </c>
      <c r="M2" t="s">
        <v>447</v>
      </c>
      <c r="N2" t="s">
        <v>448</v>
      </c>
      <c r="O2" t="s">
        <v>449</v>
      </c>
      <c r="P2" t="s">
        <v>450</v>
      </c>
      <c r="Q2" t="s">
        <v>452</v>
      </c>
    </row>
    <row r="3" spans="2:33" x14ac:dyDescent="0.2">
      <c r="B3" t="s">
        <v>385</v>
      </c>
      <c r="C3" t="s">
        <v>411</v>
      </c>
      <c r="D3" t="s">
        <v>403</v>
      </c>
      <c r="E3" t="s">
        <v>387</v>
      </c>
      <c r="F3" t="s">
        <v>389</v>
      </c>
      <c r="G3" t="s">
        <v>418</v>
      </c>
      <c r="H3" t="s">
        <v>412</v>
      </c>
      <c r="I3" t="s">
        <v>410</v>
      </c>
      <c r="J3" t="s">
        <v>406</v>
      </c>
      <c r="K3" t="s">
        <v>421</v>
      </c>
      <c r="L3" t="s">
        <v>451</v>
      </c>
      <c r="M3" t="s">
        <v>451</v>
      </c>
      <c r="N3" t="s">
        <v>451</v>
      </c>
      <c r="O3" t="s">
        <v>451</v>
      </c>
      <c r="P3" t="s">
        <v>451</v>
      </c>
      <c r="Q3" t="s">
        <v>451</v>
      </c>
      <c r="S3" s="14" t="s">
        <v>411</v>
      </c>
      <c r="T3" s="14" t="s">
        <v>403</v>
      </c>
      <c r="U3" s="14" t="s">
        <v>387</v>
      </c>
      <c r="V3" s="14" t="s">
        <v>389</v>
      </c>
      <c r="W3" s="14" t="s">
        <v>418</v>
      </c>
      <c r="X3" s="14" t="s">
        <v>412</v>
      </c>
      <c r="Y3" s="14" t="s">
        <v>410</v>
      </c>
      <c r="Z3" s="14" t="s">
        <v>406</v>
      </c>
      <c r="AA3" s="14" t="s">
        <v>421</v>
      </c>
      <c r="AB3" s="14"/>
      <c r="AC3" s="14"/>
      <c r="AD3" s="14"/>
      <c r="AE3" s="14"/>
      <c r="AF3" s="15"/>
      <c r="AG3" s="15"/>
    </row>
    <row r="4" spans="2:33" x14ac:dyDescent="0.2">
      <c r="B4" t="s">
        <v>390</v>
      </c>
      <c r="C4" t="s">
        <v>394</v>
      </c>
      <c r="D4" t="s">
        <v>392</v>
      </c>
      <c r="E4" t="s">
        <v>399</v>
      </c>
      <c r="F4" t="s">
        <v>422</v>
      </c>
      <c r="G4" t="s">
        <v>395</v>
      </c>
      <c r="H4" t="s">
        <v>401</v>
      </c>
      <c r="I4" t="s">
        <v>397</v>
      </c>
      <c r="J4" t="s">
        <v>400</v>
      </c>
      <c r="K4" t="s">
        <v>419</v>
      </c>
      <c r="L4" t="s">
        <v>391</v>
      </c>
      <c r="M4" t="s">
        <v>420</v>
      </c>
      <c r="N4" t="s">
        <v>396</v>
      </c>
      <c r="O4" t="s">
        <v>451</v>
      </c>
      <c r="P4" t="s">
        <v>451</v>
      </c>
      <c r="Q4" t="s">
        <v>451</v>
      </c>
      <c r="S4" s="14" t="s">
        <v>394</v>
      </c>
      <c r="T4" s="14" t="s">
        <v>392</v>
      </c>
      <c r="U4" s="14" t="s">
        <v>399</v>
      </c>
      <c r="V4" s="14" t="s">
        <v>422</v>
      </c>
      <c r="W4" s="14" t="s">
        <v>395</v>
      </c>
      <c r="X4" s="14" t="s">
        <v>401</v>
      </c>
      <c r="Y4" s="14" t="s">
        <v>397</v>
      </c>
      <c r="Z4" s="14" t="s">
        <v>400</v>
      </c>
      <c r="AA4" s="14" t="s">
        <v>419</v>
      </c>
      <c r="AB4" s="14" t="s">
        <v>391</v>
      </c>
      <c r="AC4" s="14" t="s">
        <v>420</v>
      </c>
      <c r="AD4" s="14" t="s">
        <v>396</v>
      </c>
      <c r="AE4" s="14"/>
      <c r="AF4" s="15"/>
      <c r="AG4" s="15"/>
    </row>
    <row r="5" spans="2:33" x14ac:dyDescent="0.2">
      <c r="B5" t="s">
        <v>369</v>
      </c>
      <c r="C5" t="s">
        <v>373</v>
      </c>
      <c r="D5" t="s">
        <v>423</v>
      </c>
      <c r="E5" t="s">
        <v>414</v>
      </c>
      <c r="F5" t="s">
        <v>416</v>
      </c>
      <c r="G5" t="s">
        <v>376</v>
      </c>
      <c r="H5" t="s">
        <v>371</v>
      </c>
      <c r="I5" t="s">
        <v>415</v>
      </c>
      <c r="J5" t="s">
        <v>374</v>
      </c>
      <c r="K5" t="s">
        <v>63</v>
      </c>
      <c r="L5" t="s">
        <v>382</v>
      </c>
      <c r="M5" t="s">
        <v>375</v>
      </c>
      <c r="N5" t="s">
        <v>372</v>
      </c>
      <c r="O5" t="s">
        <v>417</v>
      </c>
      <c r="P5" t="s">
        <v>378</v>
      </c>
      <c r="Q5" t="s">
        <v>379</v>
      </c>
      <c r="S5" s="14" t="s">
        <v>373</v>
      </c>
      <c r="T5" s="14" t="s">
        <v>423</v>
      </c>
      <c r="U5" s="14" t="s">
        <v>414</v>
      </c>
      <c r="V5" s="14" t="s">
        <v>416</v>
      </c>
      <c r="W5" s="14" t="s">
        <v>376</v>
      </c>
      <c r="X5" s="14" t="s">
        <v>371</v>
      </c>
      <c r="Y5" s="14" t="s">
        <v>415</v>
      </c>
      <c r="Z5" s="14" t="s">
        <v>374</v>
      </c>
      <c r="AA5" s="14" t="s">
        <v>63</v>
      </c>
      <c r="AB5" s="14" t="s">
        <v>382</v>
      </c>
      <c r="AC5" s="14" t="s">
        <v>375</v>
      </c>
      <c r="AD5" s="14" t="s">
        <v>372</v>
      </c>
      <c r="AE5" s="14" t="s">
        <v>417</v>
      </c>
      <c r="AF5" s="15" t="s">
        <v>378</v>
      </c>
      <c r="AG5" s="15" t="s">
        <v>379</v>
      </c>
    </row>
    <row r="6" spans="2:33" x14ac:dyDescent="0.2">
      <c r="B6" t="s">
        <v>404</v>
      </c>
      <c r="C6" t="s">
        <v>424</v>
      </c>
      <c r="D6" t="s">
        <v>426</v>
      </c>
      <c r="E6" t="s">
        <v>407</v>
      </c>
      <c r="F6" t="s">
        <v>428</v>
      </c>
      <c r="G6" t="s">
        <v>408</v>
      </c>
      <c r="H6" t="s">
        <v>413</v>
      </c>
      <c r="I6" t="s">
        <v>405</v>
      </c>
      <c r="J6" t="s">
        <v>409</v>
      </c>
      <c r="K6" t="s">
        <v>83</v>
      </c>
      <c r="L6" t="s">
        <v>451</v>
      </c>
      <c r="M6" t="s">
        <v>451</v>
      </c>
      <c r="N6" t="s">
        <v>451</v>
      </c>
      <c r="O6" t="s">
        <v>451</v>
      </c>
      <c r="P6" t="s">
        <v>451</v>
      </c>
      <c r="Q6" t="s">
        <v>451</v>
      </c>
      <c r="S6" s="14" t="s">
        <v>424</v>
      </c>
      <c r="T6" s="14" t="s">
        <v>426</v>
      </c>
      <c r="U6" s="14" t="s">
        <v>407</v>
      </c>
      <c r="V6" s="14" t="s">
        <v>428</v>
      </c>
      <c r="W6" s="14" t="s">
        <v>408</v>
      </c>
      <c r="X6" s="14" t="s">
        <v>413</v>
      </c>
      <c r="Y6" s="14" t="s">
        <v>405</v>
      </c>
      <c r="Z6" s="14" t="s">
        <v>409</v>
      </c>
      <c r="AA6" s="14" t="s">
        <v>83</v>
      </c>
      <c r="AB6" s="14"/>
      <c r="AC6" s="14"/>
      <c r="AD6" s="14"/>
      <c r="AE6" s="14"/>
      <c r="AF6" s="15"/>
      <c r="AG6" s="15"/>
    </row>
    <row r="7" spans="2:33" x14ac:dyDescent="0.2">
      <c r="B7" t="s">
        <v>380</v>
      </c>
      <c r="C7" t="s">
        <v>388</v>
      </c>
      <c r="D7" t="s">
        <v>425</v>
      </c>
      <c r="E7" t="s">
        <v>381</v>
      </c>
      <c r="F7" t="s">
        <v>393</v>
      </c>
      <c r="G7" t="s">
        <v>427</v>
      </c>
      <c r="H7" t="s">
        <v>383</v>
      </c>
      <c r="I7" t="s">
        <v>384</v>
      </c>
      <c r="J7" t="s">
        <v>451</v>
      </c>
      <c r="K7" t="s">
        <v>451</v>
      </c>
      <c r="L7" t="s">
        <v>451</v>
      </c>
      <c r="M7" t="s">
        <v>451</v>
      </c>
      <c r="N7" t="s">
        <v>451</v>
      </c>
      <c r="O7" t="s">
        <v>451</v>
      </c>
      <c r="P7" t="s">
        <v>451</v>
      </c>
      <c r="Q7" t="s">
        <v>451</v>
      </c>
      <c r="S7" s="14" t="s">
        <v>388</v>
      </c>
      <c r="T7" s="14" t="s">
        <v>425</v>
      </c>
      <c r="U7" s="14" t="s">
        <v>381</v>
      </c>
      <c r="V7" s="14" t="s">
        <v>393</v>
      </c>
      <c r="W7" s="14" t="s">
        <v>427</v>
      </c>
      <c r="X7" s="14" t="s">
        <v>383</v>
      </c>
      <c r="Y7" s="14" t="s">
        <v>384</v>
      </c>
      <c r="Z7" s="14"/>
      <c r="AA7" s="14"/>
      <c r="AB7" s="14"/>
      <c r="AC7" s="14"/>
      <c r="AD7" s="14"/>
      <c r="AE7" s="14"/>
      <c r="AF7" s="15"/>
      <c r="AG7" s="15"/>
    </row>
    <row r="8" spans="2:33" x14ac:dyDescent="0.2">
      <c r="B8" t="s">
        <v>8</v>
      </c>
      <c r="C8" t="s">
        <v>8</v>
      </c>
      <c r="D8" t="s">
        <v>451</v>
      </c>
      <c r="E8" t="s">
        <v>451</v>
      </c>
      <c r="F8" t="s">
        <v>451</v>
      </c>
      <c r="G8" t="s">
        <v>451</v>
      </c>
      <c r="H8" t="s">
        <v>451</v>
      </c>
      <c r="I8" t="s">
        <v>451</v>
      </c>
      <c r="J8" t="s">
        <v>451</v>
      </c>
      <c r="K8" t="s">
        <v>451</v>
      </c>
      <c r="L8" t="s">
        <v>451</v>
      </c>
      <c r="M8" t="s">
        <v>451</v>
      </c>
      <c r="N8" t="s">
        <v>451</v>
      </c>
      <c r="O8" t="s">
        <v>451</v>
      </c>
      <c r="P8" t="s">
        <v>451</v>
      </c>
      <c r="Q8" t="s">
        <v>451</v>
      </c>
      <c r="S8" s="16" t="s">
        <v>8</v>
      </c>
      <c r="T8" s="16"/>
      <c r="U8" s="16"/>
      <c r="V8" s="16"/>
      <c r="W8" s="16"/>
      <c r="X8" s="16"/>
      <c r="Y8" s="16"/>
      <c r="Z8" s="16"/>
      <c r="AA8" s="16"/>
      <c r="AB8" s="16"/>
      <c r="AC8" s="16"/>
      <c r="AD8" s="16"/>
      <c r="AE8" s="16"/>
      <c r="AF8" s="17"/>
      <c r="AG8" s="17"/>
    </row>
    <row r="10" spans="2:33" x14ac:dyDescent="0.2">
      <c r="B10" t="s">
        <v>436</v>
      </c>
      <c r="C10" t="s">
        <v>437</v>
      </c>
      <c r="D10" t="s">
        <v>438</v>
      </c>
      <c r="E10" t="s">
        <v>439</v>
      </c>
      <c r="F10" t="s">
        <v>440</v>
      </c>
      <c r="G10" t="s">
        <v>441</v>
      </c>
      <c r="H10" t="s">
        <v>442</v>
      </c>
      <c r="I10" t="s">
        <v>443</v>
      </c>
      <c r="J10" t="s">
        <v>444</v>
      </c>
      <c r="K10" t="s">
        <v>445</v>
      </c>
      <c r="L10" t="s">
        <v>446</v>
      </c>
      <c r="M10" t="s">
        <v>447</v>
      </c>
      <c r="N10" t="s">
        <v>448</v>
      </c>
      <c r="O10" t="s">
        <v>449</v>
      </c>
      <c r="P10" t="s">
        <v>450</v>
      </c>
      <c r="Q10" t="s">
        <v>452</v>
      </c>
      <c r="R10" t="s">
        <v>453</v>
      </c>
    </row>
    <row r="11" spans="2:33" x14ac:dyDescent="0.2">
      <c r="B11" t="s">
        <v>385</v>
      </c>
      <c r="C11" t="s">
        <v>637</v>
      </c>
      <c r="D11" t="s">
        <v>584</v>
      </c>
      <c r="E11" t="s">
        <v>631</v>
      </c>
      <c r="F11" t="s">
        <v>619</v>
      </c>
      <c r="G11" t="s">
        <v>555</v>
      </c>
      <c r="H11" t="s">
        <v>607</v>
      </c>
      <c r="I11" t="s">
        <v>609</v>
      </c>
      <c r="J11" t="s">
        <v>551</v>
      </c>
      <c r="K11" t="s">
        <v>588</v>
      </c>
      <c r="L11" t="s">
        <v>605</v>
      </c>
      <c r="M11" t="s">
        <v>451</v>
      </c>
      <c r="N11" t="s">
        <v>451</v>
      </c>
      <c r="O11" t="s">
        <v>451</v>
      </c>
      <c r="P11" t="s">
        <v>451</v>
      </c>
      <c r="Q11" t="s">
        <v>451</v>
      </c>
      <c r="R11" t="s">
        <v>451</v>
      </c>
    </row>
    <row r="12" spans="2:33" x14ac:dyDescent="0.2">
      <c r="B12" t="s">
        <v>390</v>
      </c>
      <c r="C12" t="s">
        <v>567</v>
      </c>
      <c r="D12" t="s">
        <v>559</v>
      </c>
      <c r="E12" t="s">
        <v>576</v>
      </c>
      <c r="F12" t="s">
        <v>569</v>
      </c>
      <c r="G12" t="s">
        <v>633</v>
      </c>
      <c r="H12" t="s">
        <v>561</v>
      </c>
      <c r="I12" t="s">
        <v>578</v>
      </c>
      <c r="J12" t="s">
        <v>571</v>
      </c>
      <c r="K12" t="s">
        <v>635</v>
      </c>
      <c r="L12" t="s">
        <v>574</v>
      </c>
      <c r="M12" t="s">
        <v>580</v>
      </c>
      <c r="N12" t="s">
        <v>639</v>
      </c>
      <c r="O12" t="s">
        <v>451</v>
      </c>
      <c r="P12" t="s">
        <v>451</v>
      </c>
      <c r="Q12" t="s">
        <v>451</v>
      </c>
      <c r="R12" t="s">
        <v>451</v>
      </c>
    </row>
    <row r="13" spans="2:33" x14ac:dyDescent="0.2">
      <c r="B13" t="s">
        <v>369</v>
      </c>
      <c r="C13" t="s">
        <v>533</v>
      </c>
      <c r="D13" t="s">
        <v>512</v>
      </c>
      <c r="E13" t="s">
        <v>520</v>
      </c>
      <c r="F13" t="s">
        <v>522</v>
      </c>
      <c r="G13" t="s">
        <v>537</v>
      </c>
      <c r="H13" t="s">
        <v>622</v>
      </c>
      <c r="I13" t="s">
        <v>518</v>
      </c>
      <c r="J13" t="s">
        <v>524</v>
      </c>
      <c r="K13" t="s">
        <v>526</v>
      </c>
      <c r="L13" t="s">
        <v>529</v>
      </c>
      <c r="M13" t="s">
        <v>514</v>
      </c>
      <c r="N13" t="s">
        <v>535</v>
      </c>
      <c r="O13" t="s">
        <v>627</v>
      </c>
      <c r="P13" t="s">
        <v>629</v>
      </c>
      <c r="Q13" t="s">
        <v>643</v>
      </c>
      <c r="R13" t="s">
        <v>543</v>
      </c>
    </row>
    <row r="14" spans="2:33" x14ac:dyDescent="0.2">
      <c r="B14" t="s">
        <v>404</v>
      </c>
      <c r="C14" t="s">
        <v>586</v>
      </c>
      <c r="D14" t="s">
        <v>645</v>
      </c>
      <c r="E14" t="s">
        <v>601</v>
      </c>
      <c r="F14" t="s">
        <v>641</v>
      </c>
      <c r="G14" t="s">
        <v>593</v>
      </c>
      <c r="H14" t="s">
        <v>615</v>
      </c>
      <c r="I14" t="s">
        <v>591</v>
      </c>
      <c r="J14" t="s">
        <v>595</v>
      </c>
      <c r="K14" t="s">
        <v>603</v>
      </c>
      <c r="L14" t="s">
        <v>611</v>
      </c>
      <c r="M14" t="s">
        <v>624</v>
      </c>
      <c r="N14" t="s">
        <v>597</v>
      </c>
      <c r="O14" t="s">
        <v>451</v>
      </c>
      <c r="P14" t="s">
        <v>451</v>
      </c>
      <c r="Q14" t="s">
        <v>451</v>
      </c>
      <c r="R14" t="s">
        <v>451</v>
      </c>
    </row>
    <row r="15" spans="2:33" x14ac:dyDescent="0.2">
      <c r="B15" t="s">
        <v>380</v>
      </c>
      <c r="C15" t="s">
        <v>539</v>
      </c>
      <c r="D15" t="s">
        <v>547</v>
      </c>
      <c r="E15" t="s">
        <v>563</v>
      </c>
      <c r="F15" t="s">
        <v>553</v>
      </c>
      <c r="G15" t="s">
        <v>549</v>
      </c>
      <c r="H15" t="s">
        <v>613</v>
      </c>
      <c r="I15" t="s">
        <v>541</v>
      </c>
      <c r="J15" t="s">
        <v>451</v>
      </c>
      <c r="K15" t="s">
        <v>451</v>
      </c>
      <c r="L15" t="s">
        <v>451</v>
      </c>
      <c r="M15" t="s">
        <v>451</v>
      </c>
      <c r="N15" t="s">
        <v>451</v>
      </c>
      <c r="O15" t="s">
        <v>451</v>
      </c>
      <c r="P15" t="s">
        <v>451</v>
      </c>
      <c r="Q15" t="s">
        <v>451</v>
      </c>
      <c r="R15" t="s">
        <v>451</v>
      </c>
    </row>
    <row r="16" spans="2:33" x14ac:dyDescent="0.2">
      <c r="B16" t="s">
        <v>8</v>
      </c>
      <c r="C16" t="s">
        <v>451</v>
      </c>
      <c r="D16" t="s">
        <v>451</v>
      </c>
      <c r="E16" t="s">
        <v>451</v>
      </c>
      <c r="F16" t="s">
        <v>451</v>
      </c>
      <c r="G16" t="s">
        <v>451</v>
      </c>
      <c r="H16" t="s">
        <v>451</v>
      </c>
      <c r="I16" t="s">
        <v>451</v>
      </c>
      <c r="J16" t="s">
        <v>451</v>
      </c>
      <c r="K16" t="s">
        <v>451</v>
      </c>
      <c r="L16" t="s">
        <v>451</v>
      </c>
      <c r="M16" t="s">
        <v>451</v>
      </c>
      <c r="N16" t="s">
        <v>451</v>
      </c>
      <c r="O16" t="s">
        <v>451</v>
      </c>
      <c r="P16" t="s">
        <v>451</v>
      </c>
      <c r="Q16" t="s">
        <v>451</v>
      </c>
      <c r="R16" t="s">
        <v>451</v>
      </c>
    </row>
    <row r="19" spans="2:4" x14ac:dyDescent="0.2">
      <c r="B19" t="s">
        <v>973</v>
      </c>
      <c r="C19" t="s">
        <v>974</v>
      </c>
      <c r="D19" t="s">
        <v>975</v>
      </c>
    </row>
    <row r="20" spans="2:4" x14ac:dyDescent="0.2">
      <c r="B20" s="151">
        <v>42357</v>
      </c>
      <c r="C20">
        <v>24094</v>
      </c>
      <c r="D20">
        <v>12</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6" t="s">
        <v>979</v>
      </c>
      <c r="C2" s="327"/>
      <c r="D2" s="327"/>
      <c r="E2" s="327"/>
      <c r="F2" s="327"/>
      <c r="G2" s="328"/>
      <c r="H2" s="135" t="s">
        <v>5</v>
      </c>
      <c r="I2" s="136" t="s">
        <v>2</v>
      </c>
      <c r="J2" s="136" t="s">
        <v>231</v>
      </c>
      <c r="K2" s="134"/>
    </row>
    <row r="3" spans="1:11" ht="59.25" customHeight="1" x14ac:dyDescent="0.2">
      <c r="A3" s="130"/>
      <c r="B3" s="329"/>
      <c r="C3" s="330"/>
      <c r="D3" s="330"/>
      <c r="E3" s="330"/>
      <c r="F3" s="330"/>
      <c r="G3" s="330"/>
      <c r="H3" s="322">
        <f>SUM(H5,H10)</f>
        <v>364497</v>
      </c>
      <c r="I3" s="322">
        <f>SUM(I5,I10)</f>
        <v>73730</v>
      </c>
      <c r="J3" s="324">
        <f>ROUND(I3/H3,5)</f>
        <v>0.20227999999999999</v>
      </c>
      <c r="K3" s="134"/>
    </row>
    <row r="4" spans="1:11" ht="33" customHeight="1" thickBot="1" x14ac:dyDescent="0.25">
      <c r="A4" s="130"/>
      <c r="B4" s="333" t="str">
        <f>"As of: "&amp;TEXT(INDEX(MMWR_DATES[],1,1),"MMMM DD, YYYY")</f>
        <v>As of: December 19, 2015</v>
      </c>
      <c r="C4" s="334"/>
      <c r="D4" s="334"/>
      <c r="E4" s="334"/>
      <c r="F4" s="334"/>
      <c r="G4" s="335"/>
      <c r="H4" s="323"/>
      <c r="I4" s="323"/>
      <c r="J4" s="325"/>
      <c r="K4" s="137"/>
    </row>
    <row r="5" spans="1:11" ht="16.5" customHeight="1" thickBot="1" x14ac:dyDescent="0.25">
      <c r="A5" s="130"/>
      <c r="B5" s="331" t="s">
        <v>236</v>
      </c>
      <c r="C5" s="332"/>
      <c r="D5" s="332"/>
      <c r="E5" s="332"/>
      <c r="F5" s="332"/>
      <c r="G5" s="138" t="s">
        <v>247</v>
      </c>
      <c r="H5" s="159">
        <f>SUM(H6:H9)</f>
        <v>138638</v>
      </c>
      <c r="I5" s="159">
        <f>SUM(I6:I9)</f>
        <v>33390</v>
      </c>
      <c r="J5" s="160">
        <f t="shared" ref="J5:J15" si="0">IF(H5=0, 0,I5/H5)</f>
        <v>0.24084305890159985</v>
      </c>
      <c r="K5" s="134"/>
    </row>
    <row r="6" spans="1:11" ht="16.5" customHeight="1" x14ac:dyDescent="0.2">
      <c r="A6" s="130"/>
      <c r="B6" s="336" t="s">
        <v>16</v>
      </c>
      <c r="C6" s="337"/>
      <c r="D6" s="337"/>
      <c r="E6" s="337"/>
      <c r="F6" s="337"/>
      <c r="G6" s="139" t="s">
        <v>193</v>
      </c>
      <c r="H6" s="161">
        <f>IFERROR(VLOOKUP(MID($G6,4,3),MMWR_TRAD_AGG_NATIONAL[],2,0),0)</f>
        <v>40899</v>
      </c>
      <c r="I6" s="161">
        <f>IFERROR(VLOOKUP(MID($G6,4,3),MMWR_TRAD_AGG_NATIONAL[],3,0),0)</f>
        <v>12152</v>
      </c>
      <c r="J6" s="162">
        <f t="shared" si="0"/>
        <v>0.29712217902638205</v>
      </c>
      <c r="K6" s="134"/>
    </row>
    <row r="7" spans="1:11" ht="16.5" customHeight="1" x14ac:dyDescent="0.2">
      <c r="A7" s="130"/>
      <c r="B7" s="338" t="s">
        <v>0</v>
      </c>
      <c r="C7" s="339"/>
      <c r="D7" s="339"/>
      <c r="E7" s="339"/>
      <c r="F7" s="339"/>
      <c r="G7" s="140" t="s">
        <v>194</v>
      </c>
      <c r="H7" s="161">
        <f>IFERROR(VLOOKUP(MID($G7,4,3),MMWR_TRAD_AGG_NATIONAL[],2,0),0)</f>
        <v>81037</v>
      </c>
      <c r="I7" s="161">
        <f>IFERROR(VLOOKUP(MID($G7,4,3),MMWR_TRAD_AGG_NATIONAL[],3,0),0)</f>
        <v>19526</v>
      </c>
      <c r="J7" s="162">
        <f t="shared" si="0"/>
        <v>0.24095166405469107</v>
      </c>
      <c r="K7" s="134"/>
    </row>
    <row r="8" spans="1:11" ht="16.5" customHeight="1" x14ac:dyDescent="0.2">
      <c r="A8" s="130"/>
      <c r="B8" s="340" t="s">
        <v>237</v>
      </c>
      <c r="C8" s="341"/>
      <c r="D8" s="341"/>
      <c r="E8" s="341"/>
      <c r="F8" s="341"/>
      <c r="G8" s="141" t="s">
        <v>196</v>
      </c>
      <c r="H8" s="161">
        <f>IFERROR(VLOOKUP(MID($G8,4,3),MMWR_TRAD_AGG_NATIONAL[],2,0),0)</f>
        <v>8615</v>
      </c>
      <c r="I8" s="161">
        <f>IFERROR(VLOOKUP(MID($G8,4,3),MMWR_TRAD_AGG_NATIONAL[],3,0),0)</f>
        <v>387</v>
      </c>
      <c r="J8" s="162">
        <f t="shared" si="0"/>
        <v>4.4921648287869993E-2</v>
      </c>
      <c r="K8" s="134"/>
    </row>
    <row r="9" spans="1:11" ht="16.5" customHeight="1" thickBot="1" x14ac:dyDescent="0.25">
      <c r="A9" s="130"/>
      <c r="B9" s="342" t="s">
        <v>17</v>
      </c>
      <c r="C9" s="343"/>
      <c r="D9" s="343"/>
      <c r="E9" s="343"/>
      <c r="F9" s="343"/>
      <c r="G9" s="140" t="s">
        <v>198</v>
      </c>
      <c r="H9" s="161">
        <f>IFERROR(VLOOKUP(MID($G9,4,3),MMWR_TRAD_AGG_NATIONAL[],2,0),0)</f>
        <v>8087</v>
      </c>
      <c r="I9" s="161">
        <f>IFERROR(VLOOKUP(MID($G9,4,3),MMWR_TRAD_AGG_NATIONAL[],3,0),0)</f>
        <v>1325</v>
      </c>
      <c r="J9" s="162">
        <f t="shared" si="0"/>
        <v>0.16384320514405837</v>
      </c>
      <c r="K9" s="134"/>
    </row>
    <row r="10" spans="1:11" ht="17.25" thickBot="1" x14ac:dyDescent="0.25">
      <c r="A10" s="130"/>
      <c r="B10" s="331" t="s">
        <v>1</v>
      </c>
      <c r="C10" s="332"/>
      <c r="D10" s="332"/>
      <c r="E10" s="332"/>
      <c r="F10" s="332"/>
      <c r="G10" s="138" t="s">
        <v>247</v>
      </c>
      <c r="H10" s="159">
        <f>SUM(H11:H18)</f>
        <v>225859</v>
      </c>
      <c r="I10" s="159">
        <f>SUM(I11:I18)</f>
        <v>40340</v>
      </c>
      <c r="J10" s="160">
        <f t="shared" si="0"/>
        <v>0.1786070070265077</v>
      </c>
      <c r="K10" s="134"/>
    </row>
    <row r="11" spans="1:11" ht="16.5" customHeight="1" x14ac:dyDescent="0.2">
      <c r="A11" s="130"/>
      <c r="B11" s="336" t="s">
        <v>202</v>
      </c>
      <c r="C11" s="337"/>
      <c r="D11" s="337"/>
      <c r="E11" s="337"/>
      <c r="F11" s="337"/>
      <c r="G11" s="142" t="s">
        <v>197</v>
      </c>
      <c r="H11" s="163">
        <f>IFERROR(VLOOKUP(MID($G11,4,3),MMWR_TRAD_AGG_NATIONAL[],2,0),0)</f>
        <v>8023</v>
      </c>
      <c r="I11" s="161">
        <f>IFERROR(VLOOKUP(MID($G11,4,3),MMWR_TRAD_AGG_NATIONAL[],3,0),0)</f>
        <v>326</v>
      </c>
      <c r="J11" s="162">
        <f t="shared" si="0"/>
        <v>4.0633179608625204E-2</v>
      </c>
      <c r="K11" s="134"/>
    </row>
    <row r="12" spans="1:11" ht="16.5" customHeight="1" x14ac:dyDescent="0.2">
      <c r="A12" s="130"/>
      <c r="B12" s="338" t="s">
        <v>18</v>
      </c>
      <c r="C12" s="339"/>
      <c r="D12" s="339"/>
      <c r="E12" s="339"/>
      <c r="F12" s="339"/>
      <c r="G12" s="143" t="s">
        <v>195</v>
      </c>
      <c r="H12" s="164">
        <f>IFERROR(VLOOKUP(MID($G12,4,3),MMWR_TRAD_AGG_NATIONAL[],2,0),0)</f>
        <v>201571</v>
      </c>
      <c r="I12" s="161">
        <f>IFERROR(VLOOKUP(MID($G12,4,3),MMWR_TRAD_AGG_NATIONAL[],3,0),0)</f>
        <v>38090</v>
      </c>
      <c r="J12" s="162">
        <f t="shared" si="0"/>
        <v>0.18896567462581423</v>
      </c>
      <c r="K12" s="134"/>
    </row>
    <row r="13" spans="1:11" ht="16.5" customHeight="1" x14ac:dyDescent="0.2">
      <c r="A13" s="130"/>
      <c r="B13" s="338" t="s">
        <v>14</v>
      </c>
      <c r="C13" s="339"/>
      <c r="D13" s="339"/>
      <c r="E13" s="339"/>
      <c r="F13" s="339"/>
      <c r="G13" s="143" t="s">
        <v>199</v>
      </c>
      <c r="H13" s="164">
        <f>IFERROR(VLOOKUP(MID($G13,4,3),MMWR_TRAD_AGG_NATIONAL[],2,0),0)</f>
        <v>15524</v>
      </c>
      <c r="I13" s="161">
        <f>IFERROR(VLOOKUP(MID($G13,4,3),MMWR_TRAD_AGG_NATIONAL[],3,0),0)</f>
        <v>1691</v>
      </c>
      <c r="J13" s="162">
        <f t="shared" si="0"/>
        <v>0.10892811131151765</v>
      </c>
      <c r="K13" s="134"/>
    </row>
    <row r="14" spans="1:11" ht="16.5" customHeight="1" x14ac:dyDescent="0.2">
      <c r="A14" s="130"/>
      <c r="B14" s="340" t="s">
        <v>19</v>
      </c>
      <c r="C14" s="341"/>
      <c r="D14" s="341"/>
      <c r="E14" s="341"/>
      <c r="F14" s="341"/>
      <c r="G14" s="142" t="s">
        <v>200</v>
      </c>
      <c r="H14" s="164">
        <f>IFERROR(VLOOKUP(MID($G14,4,3),MMWR_TRAD_AGG_NATIONAL[],2,0),0)</f>
        <v>726</v>
      </c>
      <c r="I14" s="161">
        <f>IFERROR(VLOOKUP(MID($G14,4,3),MMWR_TRAD_AGG_NATIONAL[],3,0),0)</f>
        <v>227</v>
      </c>
      <c r="J14" s="162">
        <f t="shared" si="0"/>
        <v>0.31267217630853994</v>
      </c>
      <c r="K14" s="134"/>
    </row>
    <row r="15" spans="1:11" ht="16.5" customHeight="1" x14ac:dyDescent="0.2">
      <c r="A15" s="130"/>
      <c r="B15" s="340" t="s">
        <v>87</v>
      </c>
      <c r="C15" s="341"/>
      <c r="D15" s="341"/>
      <c r="E15" s="341"/>
      <c r="F15" s="341"/>
      <c r="G15" s="142" t="s">
        <v>203</v>
      </c>
      <c r="H15" s="164">
        <f>IFERROR(VLOOKUP(MID($G15,4,3),MMWR_TRAD_AGG_NATIONAL[],2,0),0)</f>
        <v>7</v>
      </c>
      <c r="I15" s="161">
        <f>IFERROR(VLOOKUP(MID($G15,4,3),MMWR_TRAD_AGG_NATIONAL[],3,0),0)</f>
        <v>2</v>
      </c>
      <c r="J15" s="162">
        <f t="shared" si="0"/>
        <v>0.2857142857142857</v>
      </c>
      <c r="K15" s="134"/>
    </row>
    <row r="16" spans="1:11" ht="15" x14ac:dyDescent="0.2">
      <c r="A16" s="130"/>
      <c r="B16" s="340" t="s">
        <v>88</v>
      </c>
      <c r="C16" s="341"/>
      <c r="D16" s="341"/>
      <c r="E16" s="341"/>
      <c r="F16" s="341"/>
      <c r="G16" s="142" t="s">
        <v>204</v>
      </c>
      <c r="H16" s="164">
        <f>IFERROR(VLOOKUP(MID($G16,4,3),MMWR_TRAD_AGG_NATIONAL[],2,0),0)</f>
        <v>1</v>
      </c>
      <c r="I16" s="161">
        <f>IFERROR(VLOOKUP(MID($G16,4,3),MMWR_TRAD_AGG_NATIONAL[],3,0),0)</f>
        <v>0</v>
      </c>
      <c r="J16" s="162">
        <f>IF(H16=0, 0,I16/H16)</f>
        <v>0</v>
      </c>
      <c r="K16" s="134"/>
    </row>
    <row r="17" spans="1:11" ht="16.5" customHeight="1" x14ac:dyDescent="0.2">
      <c r="A17" s="130"/>
      <c r="B17" s="340" t="s">
        <v>90</v>
      </c>
      <c r="C17" s="341"/>
      <c r="D17" s="341"/>
      <c r="E17" s="341"/>
      <c r="F17" s="341"/>
      <c r="G17" s="142" t="s">
        <v>205</v>
      </c>
      <c r="H17" s="164">
        <f>IFERROR(VLOOKUP(MID($G17,4,3),MMWR_TRAD_AGG_NATIONAL[],2,0),0)</f>
        <v>3</v>
      </c>
      <c r="I17" s="161">
        <f>IFERROR(VLOOKUP(MID($G17,4,3),MMWR_TRAD_AGG_NATIONAL[],3,0),0)</f>
        <v>1</v>
      </c>
      <c r="J17" s="162">
        <f>IF(H17=0, 0,I17/H17)</f>
        <v>0.33333333333333331</v>
      </c>
      <c r="K17" s="134"/>
    </row>
    <row r="18" spans="1:11" ht="16.5" customHeight="1" thickBot="1" x14ac:dyDescent="0.25">
      <c r="A18" s="130"/>
      <c r="B18" s="342" t="s">
        <v>89</v>
      </c>
      <c r="C18" s="343"/>
      <c r="D18" s="343"/>
      <c r="E18" s="343"/>
      <c r="F18" s="343"/>
      <c r="G18" s="142" t="s">
        <v>206</v>
      </c>
      <c r="H18" s="165">
        <f>IFERROR(VLOOKUP(MID($G18,4,3),MMWR_TRAD_AGG_NATIONAL[],2,0),0)</f>
        <v>4</v>
      </c>
      <c r="I18" s="161">
        <f>IFERROR(VLOOKUP(MID($G18,4,3),MMWR_TRAD_AGG_NATIONAL[],3,0),0)</f>
        <v>3</v>
      </c>
      <c r="J18" s="166">
        <f>IF(H18=0, 0,I18/H18)</f>
        <v>0.75</v>
      </c>
      <c r="K18" s="134"/>
    </row>
    <row r="19" spans="1:11" ht="16.5" customHeight="1" x14ac:dyDescent="0.2">
      <c r="A19" s="130"/>
      <c r="B19" s="347" t="s">
        <v>969</v>
      </c>
      <c r="C19" s="348"/>
      <c r="D19" s="348"/>
      <c r="E19" s="348"/>
      <c r="F19" s="348"/>
      <c r="G19" s="348"/>
      <c r="H19" s="348"/>
      <c r="I19" s="348"/>
      <c r="J19" s="349"/>
      <c r="K19" s="134"/>
    </row>
    <row r="20" spans="1:11" ht="36" customHeight="1" thickBot="1" x14ac:dyDescent="0.25">
      <c r="A20" s="130"/>
      <c r="B20" s="350"/>
      <c r="C20" s="351"/>
      <c r="D20" s="351"/>
      <c r="E20" s="351"/>
      <c r="F20" s="351"/>
      <c r="G20" s="351"/>
      <c r="H20" s="351"/>
      <c r="I20" s="351"/>
      <c r="J20" s="352"/>
      <c r="K20" s="134"/>
    </row>
    <row r="21" spans="1:11" ht="36" customHeight="1" x14ac:dyDescent="0.2">
      <c r="A21" s="130"/>
      <c r="B21" s="299" t="s">
        <v>960</v>
      </c>
      <c r="C21" s="300"/>
      <c r="D21" s="301"/>
      <c r="E21" s="299" t="s">
        <v>961</v>
      </c>
      <c r="F21" s="300"/>
      <c r="G21" s="301"/>
      <c r="H21" s="299" t="s">
        <v>962</v>
      </c>
      <c r="I21" s="300"/>
      <c r="J21" s="301"/>
      <c r="K21" s="134"/>
    </row>
    <row r="22" spans="1:11" ht="29.25" customHeight="1" thickBot="1" x14ac:dyDescent="0.25">
      <c r="A22" s="130"/>
      <c r="B22" s="302"/>
      <c r="C22" s="303"/>
      <c r="D22" s="304"/>
      <c r="E22" s="302"/>
      <c r="F22" s="303"/>
      <c r="G22" s="304"/>
      <c r="H22" s="302"/>
      <c r="I22" s="303"/>
      <c r="J22" s="304"/>
      <c r="K22" s="134"/>
    </row>
    <row r="23" spans="1:11" ht="36" customHeight="1" x14ac:dyDescent="0.35">
      <c r="A23" s="130"/>
      <c r="B23" s="299" t="s">
        <v>954</v>
      </c>
      <c r="C23" s="300"/>
      <c r="D23" s="301"/>
      <c r="E23" s="299" t="s">
        <v>955</v>
      </c>
      <c r="F23" s="300"/>
      <c r="G23" s="301"/>
      <c r="H23" s="144"/>
      <c r="I23" s="144"/>
      <c r="J23" s="144"/>
      <c r="K23" s="134"/>
    </row>
    <row r="24" spans="1:11" ht="29.25" customHeight="1" thickBot="1" x14ac:dyDescent="0.4">
      <c r="A24" s="130"/>
      <c r="B24" s="302"/>
      <c r="C24" s="303"/>
      <c r="D24" s="304"/>
      <c r="E24" s="302"/>
      <c r="F24" s="303"/>
      <c r="G24" s="304"/>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20"/>
      <c r="D26" s="320"/>
      <c r="E26" s="320"/>
      <c r="F26" s="321"/>
      <c r="G26" s="264" t="s">
        <v>28</v>
      </c>
      <c r="H26" s="264" t="s">
        <v>29</v>
      </c>
      <c r="I26" s="264" t="s">
        <v>30</v>
      </c>
      <c r="J26" s="265" t="s">
        <v>31</v>
      </c>
      <c r="K26" s="134"/>
    </row>
    <row r="27" spans="1:11" ht="16.5" customHeight="1" x14ac:dyDescent="0.2">
      <c r="A27" s="130"/>
      <c r="B27" s="317" t="s">
        <v>963</v>
      </c>
      <c r="C27" s="318"/>
      <c r="D27" s="318"/>
      <c r="E27" s="318"/>
      <c r="F27" s="319"/>
      <c r="G27" s="257">
        <v>5668</v>
      </c>
      <c r="H27" s="257">
        <v>5831</v>
      </c>
      <c r="I27" s="257">
        <v>-163</v>
      </c>
      <c r="J27" s="261">
        <v>-2.8000000000000001E-2</v>
      </c>
      <c r="K27" s="134"/>
    </row>
    <row r="28" spans="1:11" ht="15" x14ac:dyDescent="0.2">
      <c r="A28" s="130"/>
      <c r="B28" s="305" t="s">
        <v>24</v>
      </c>
      <c r="C28" s="306"/>
      <c r="D28" s="306"/>
      <c r="E28" s="306"/>
      <c r="F28" s="307"/>
      <c r="G28" s="258">
        <v>1091</v>
      </c>
      <c r="H28" s="258">
        <v>1169</v>
      </c>
      <c r="I28" s="258">
        <v>-78</v>
      </c>
      <c r="J28" s="254">
        <v>-6.7000000000000004E-2</v>
      </c>
      <c r="K28" s="134"/>
    </row>
    <row r="29" spans="1:11" ht="15" x14ac:dyDescent="0.2">
      <c r="A29" s="130"/>
      <c r="B29" s="308" t="s">
        <v>25</v>
      </c>
      <c r="C29" s="309"/>
      <c r="D29" s="309"/>
      <c r="E29" s="309"/>
      <c r="F29" s="310"/>
      <c r="G29" s="259">
        <v>715</v>
      </c>
      <c r="H29" s="259">
        <v>664</v>
      </c>
      <c r="I29" s="259">
        <v>51</v>
      </c>
      <c r="J29" s="255">
        <v>7.6999999999999999E-2</v>
      </c>
      <c r="K29" s="134"/>
    </row>
    <row r="30" spans="1:11" ht="15" x14ac:dyDescent="0.2">
      <c r="A30" s="130"/>
      <c r="B30" s="311" t="s">
        <v>26</v>
      </c>
      <c r="C30" s="312"/>
      <c r="D30" s="312"/>
      <c r="E30" s="312"/>
      <c r="F30" s="313"/>
      <c r="G30" s="259">
        <v>1314</v>
      </c>
      <c r="H30" s="259">
        <v>1478</v>
      </c>
      <c r="I30" s="259">
        <v>-164</v>
      </c>
      <c r="J30" s="255">
        <v>-0.111</v>
      </c>
      <c r="K30" s="134"/>
    </row>
    <row r="31" spans="1:11" ht="15" x14ac:dyDescent="0.2">
      <c r="A31" s="130"/>
      <c r="B31" s="314" t="s">
        <v>27</v>
      </c>
      <c r="C31" s="315"/>
      <c r="D31" s="315"/>
      <c r="E31" s="315"/>
      <c r="F31" s="316"/>
      <c r="G31" s="260">
        <v>2548</v>
      </c>
      <c r="H31" s="260">
        <v>2520</v>
      </c>
      <c r="I31" s="260">
        <v>28</v>
      </c>
      <c r="J31" s="256">
        <v>1.0999999999999999E-2</v>
      </c>
      <c r="K31" s="134"/>
    </row>
    <row r="32" spans="1:11" ht="16.5" customHeight="1" x14ac:dyDescent="0.2">
      <c r="A32" s="130"/>
      <c r="B32" s="317" t="s">
        <v>238</v>
      </c>
      <c r="C32" s="318"/>
      <c r="D32" s="318"/>
      <c r="E32" s="318"/>
      <c r="F32" s="319"/>
      <c r="G32" s="257">
        <v>53820</v>
      </c>
      <c r="H32" s="257">
        <v>46744</v>
      </c>
      <c r="I32" s="257">
        <v>7076</v>
      </c>
      <c r="J32" s="261">
        <v>0.151</v>
      </c>
      <c r="K32" s="134"/>
    </row>
    <row r="33" spans="1:11" ht="15" x14ac:dyDescent="0.2">
      <c r="A33" s="130"/>
      <c r="B33" s="305" t="s">
        <v>24</v>
      </c>
      <c r="C33" s="306"/>
      <c r="D33" s="306"/>
      <c r="E33" s="306"/>
      <c r="F33" s="307"/>
      <c r="G33" s="258">
        <v>7610</v>
      </c>
      <c r="H33" s="258">
        <v>8906</v>
      </c>
      <c r="I33" s="258">
        <v>-1296</v>
      </c>
      <c r="J33" s="254">
        <v>-0.14599999999999999</v>
      </c>
      <c r="K33" s="134"/>
    </row>
    <row r="34" spans="1:11" ht="15" x14ac:dyDescent="0.2">
      <c r="A34" s="130"/>
      <c r="B34" s="308" t="s">
        <v>25</v>
      </c>
      <c r="C34" s="309"/>
      <c r="D34" s="309"/>
      <c r="E34" s="309"/>
      <c r="F34" s="310"/>
      <c r="G34" s="259">
        <v>7150</v>
      </c>
      <c r="H34" s="259">
        <v>5647</v>
      </c>
      <c r="I34" s="259">
        <v>1503</v>
      </c>
      <c r="J34" s="255">
        <v>0.26600000000000001</v>
      </c>
      <c r="K34" s="134"/>
    </row>
    <row r="35" spans="1:11" ht="15" x14ac:dyDescent="0.2">
      <c r="A35" s="130"/>
      <c r="B35" s="311" t="s">
        <v>26</v>
      </c>
      <c r="C35" s="312"/>
      <c r="D35" s="312"/>
      <c r="E35" s="312"/>
      <c r="F35" s="313"/>
      <c r="G35" s="259">
        <v>19058</v>
      </c>
      <c r="H35" s="259">
        <v>16897</v>
      </c>
      <c r="I35" s="259">
        <v>2161</v>
      </c>
      <c r="J35" s="255">
        <v>0.128</v>
      </c>
      <c r="K35" s="134"/>
    </row>
    <row r="36" spans="1:11" ht="15.75" thickBot="1" x14ac:dyDescent="0.25">
      <c r="A36" s="130"/>
      <c r="B36" s="353" t="s">
        <v>27</v>
      </c>
      <c r="C36" s="354"/>
      <c r="D36" s="354"/>
      <c r="E36" s="354"/>
      <c r="F36" s="355"/>
      <c r="G36" s="259">
        <v>20002</v>
      </c>
      <c r="H36" s="259">
        <v>15294</v>
      </c>
      <c r="I36" s="259">
        <v>4708</v>
      </c>
      <c r="J36" s="255">
        <v>0.308</v>
      </c>
      <c r="K36" s="134"/>
    </row>
    <row r="37" spans="1:11" ht="15.75" customHeight="1" thickBot="1" x14ac:dyDescent="0.25">
      <c r="A37" s="130"/>
      <c r="B37" s="344" t="s">
        <v>968</v>
      </c>
      <c r="C37" s="345"/>
      <c r="D37" s="345"/>
      <c r="E37" s="345"/>
      <c r="F37" s="345"/>
      <c r="G37" s="345"/>
      <c r="H37" s="345"/>
      <c r="I37" s="345"/>
      <c r="J37" s="346"/>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6" priority="26" stopIfTrue="1">
      <formula>ISERROR(J6)</formula>
    </cfRule>
  </conditionalFormatting>
  <conditionalFormatting sqref="J8">
    <cfRule type="expression" dxfId="435"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71" t="s">
        <v>294</v>
      </c>
      <c r="D2" s="372"/>
      <c r="E2" s="372"/>
      <c r="F2" s="372"/>
      <c r="G2" s="372"/>
      <c r="H2" s="372"/>
      <c r="I2" s="372"/>
      <c r="J2" s="372"/>
      <c r="K2" s="373"/>
      <c r="L2" s="371" t="s">
        <v>299</v>
      </c>
      <c r="M2" s="372"/>
      <c r="N2" s="372"/>
      <c r="O2" s="373"/>
      <c r="P2" s="28"/>
    </row>
    <row r="3" spans="1:16" ht="24" customHeight="1" thickBot="1" x14ac:dyDescent="0.4">
      <c r="A3" s="25"/>
      <c r="B3" s="29"/>
      <c r="C3" s="374"/>
      <c r="D3" s="375"/>
      <c r="E3" s="375"/>
      <c r="F3" s="375"/>
      <c r="G3" s="375"/>
      <c r="H3" s="375"/>
      <c r="I3" s="375"/>
      <c r="J3" s="375"/>
      <c r="K3" s="376"/>
      <c r="L3" s="374" t="str">
        <f>Transformation!B4</f>
        <v>As of: December 19, 2015</v>
      </c>
      <c r="M3" s="375"/>
      <c r="N3" s="375"/>
      <c r="O3" s="376"/>
      <c r="P3" s="28"/>
    </row>
    <row r="4" spans="1:16" ht="51.75" customHeight="1" thickBot="1" x14ac:dyDescent="0.35">
      <c r="A4" s="30"/>
      <c r="B4" s="247" t="s">
        <v>455</v>
      </c>
      <c r="C4" s="377" t="s">
        <v>303</v>
      </c>
      <c r="D4" s="378"/>
      <c r="E4" s="378"/>
      <c r="F4" s="378"/>
      <c r="G4" s="378"/>
      <c r="H4" s="378"/>
      <c r="I4" s="378"/>
      <c r="J4" s="378"/>
      <c r="K4" s="378"/>
      <c r="L4" s="378"/>
      <c r="M4" s="378"/>
      <c r="N4" s="378"/>
      <c r="O4" s="379"/>
      <c r="P4" s="28"/>
    </row>
    <row r="5" spans="1:16" ht="27" customHeight="1" thickBot="1" x14ac:dyDescent="0.25">
      <c r="A5" s="30"/>
      <c r="B5" s="26"/>
      <c r="C5" s="380" t="s">
        <v>1042</v>
      </c>
      <c r="D5" s="381"/>
      <c r="E5" s="381"/>
      <c r="F5" s="381"/>
      <c r="G5" s="381"/>
      <c r="H5" s="381"/>
      <c r="I5" s="381"/>
      <c r="J5" s="381"/>
      <c r="K5" s="381"/>
      <c r="L5" s="381"/>
      <c r="M5" s="381"/>
      <c r="N5" s="381"/>
      <c r="O5" s="382"/>
      <c r="P5" s="28"/>
    </row>
    <row r="6" spans="1:16" ht="55.5" customHeight="1" x14ac:dyDescent="0.2">
      <c r="A6" s="30"/>
      <c r="B6" s="31"/>
      <c r="C6" s="32" t="s">
        <v>193</v>
      </c>
      <c r="D6" s="383" t="s">
        <v>16</v>
      </c>
      <c r="E6" s="384"/>
      <c r="F6" s="33" t="s">
        <v>196</v>
      </c>
      <c r="G6" s="383" t="s">
        <v>201</v>
      </c>
      <c r="H6" s="385"/>
      <c r="I6" s="33" t="s">
        <v>199</v>
      </c>
      <c r="J6" s="389" t="s">
        <v>14</v>
      </c>
      <c r="K6" s="390"/>
      <c r="L6" s="33" t="s">
        <v>204</v>
      </c>
      <c r="M6" s="386" t="s">
        <v>88</v>
      </c>
      <c r="N6" s="387"/>
      <c r="O6" s="388"/>
      <c r="P6" s="28"/>
    </row>
    <row r="7" spans="1:16" ht="51.75" customHeight="1" x14ac:dyDescent="0.2">
      <c r="A7" s="30"/>
      <c r="B7" s="34"/>
      <c r="C7" s="35" t="s">
        <v>194</v>
      </c>
      <c r="D7" s="359" t="s">
        <v>0</v>
      </c>
      <c r="E7" s="360"/>
      <c r="F7" s="36" t="s">
        <v>197</v>
      </c>
      <c r="G7" s="361" t="s">
        <v>202</v>
      </c>
      <c r="H7" s="361"/>
      <c r="I7" s="36" t="s">
        <v>200</v>
      </c>
      <c r="J7" s="391" t="s">
        <v>19</v>
      </c>
      <c r="K7" s="392"/>
      <c r="L7" s="36" t="s">
        <v>205</v>
      </c>
      <c r="M7" s="395" t="s">
        <v>90</v>
      </c>
      <c r="N7" s="396"/>
      <c r="O7" s="397"/>
      <c r="P7" s="28"/>
    </row>
    <row r="8" spans="1:16" ht="51.75" customHeight="1" thickBot="1" x14ac:dyDescent="0.25">
      <c r="A8" s="25"/>
      <c r="B8" s="28"/>
      <c r="C8" s="37" t="s">
        <v>195</v>
      </c>
      <c r="D8" s="362" t="s">
        <v>18</v>
      </c>
      <c r="E8" s="363"/>
      <c r="F8" s="38" t="s">
        <v>198</v>
      </c>
      <c r="G8" s="364" t="s">
        <v>17</v>
      </c>
      <c r="H8" s="364"/>
      <c r="I8" s="38" t="s">
        <v>203</v>
      </c>
      <c r="J8" s="393" t="s">
        <v>87</v>
      </c>
      <c r="K8" s="394"/>
      <c r="L8" s="38" t="s">
        <v>206</v>
      </c>
      <c r="M8" s="368" t="s">
        <v>89</v>
      </c>
      <c r="N8" s="369"/>
      <c r="O8" s="370"/>
      <c r="P8" s="28"/>
    </row>
    <row r="9" spans="1:16" x14ac:dyDescent="0.2">
      <c r="A9" s="28"/>
      <c r="B9" s="28"/>
      <c r="C9" s="39" t="s">
        <v>704</v>
      </c>
      <c r="D9" s="39" t="s">
        <v>706</v>
      </c>
      <c r="E9" s="39" t="s">
        <v>705</v>
      </c>
      <c r="F9" s="39" t="s">
        <v>708</v>
      </c>
      <c r="G9" s="39" t="s">
        <v>707</v>
      </c>
      <c r="H9" s="39" t="s">
        <v>710</v>
      </c>
      <c r="I9" s="39" t="s">
        <v>709</v>
      </c>
      <c r="J9" s="39" t="s">
        <v>920</v>
      </c>
      <c r="K9" s="39" t="s">
        <v>921</v>
      </c>
      <c r="L9" s="39" t="s">
        <v>923</v>
      </c>
      <c r="M9" s="39" t="s">
        <v>1043</v>
      </c>
      <c r="N9" s="39" t="s">
        <v>924</v>
      </c>
      <c r="O9" s="39" t="s">
        <v>925</v>
      </c>
      <c r="P9" s="28"/>
    </row>
    <row r="10" spans="1:16" ht="15.75" customHeight="1" x14ac:dyDescent="0.2">
      <c r="A10" s="25"/>
      <c r="B10" s="26"/>
      <c r="C10" s="365" t="s">
        <v>292</v>
      </c>
      <c r="D10" s="365"/>
      <c r="E10" s="365"/>
      <c r="F10" s="365"/>
      <c r="G10" s="365"/>
      <c r="H10" s="365"/>
      <c r="I10" s="365"/>
      <c r="J10" s="365"/>
      <c r="K10" s="365"/>
      <c r="L10" s="365"/>
      <c r="M10" s="365"/>
      <c r="N10" s="365"/>
      <c r="O10" s="365"/>
      <c r="P10" s="28"/>
    </row>
    <row r="11" spans="1:16" ht="32.25" customHeight="1" x14ac:dyDescent="0.2">
      <c r="A11" s="25"/>
      <c r="B11" s="26"/>
      <c r="C11" s="366" t="s">
        <v>229</v>
      </c>
      <c r="D11" s="366" t="s">
        <v>137</v>
      </c>
      <c r="E11" s="366" t="s">
        <v>230</v>
      </c>
      <c r="F11" s="366" t="s">
        <v>192</v>
      </c>
      <c r="G11" s="366" t="s">
        <v>207</v>
      </c>
      <c r="H11" s="366" t="s">
        <v>209</v>
      </c>
      <c r="I11" s="366" t="s">
        <v>210</v>
      </c>
      <c r="J11" s="400" t="s">
        <v>1054</v>
      </c>
      <c r="K11" s="400" t="s">
        <v>1055</v>
      </c>
      <c r="L11" s="398" t="s">
        <v>1052</v>
      </c>
      <c r="M11" s="399"/>
      <c r="N11" s="398" t="s">
        <v>1053</v>
      </c>
      <c r="O11" s="399"/>
      <c r="P11" s="28"/>
    </row>
    <row r="12" spans="1:16" ht="32.25" customHeight="1" x14ac:dyDescent="0.2">
      <c r="A12" s="25"/>
      <c r="B12" s="26"/>
      <c r="C12" s="367"/>
      <c r="D12" s="367"/>
      <c r="E12" s="367"/>
      <c r="F12" s="367"/>
      <c r="G12" s="367"/>
      <c r="H12" s="367"/>
      <c r="I12" s="367"/>
      <c r="J12" s="401"/>
      <c r="K12" s="401"/>
      <c r="L12" s="40" t="s">
        <v>926</v>
      </c>
      <c r="M12" s="40" t="s">
        <v>931</v>
      </c>
      <c r="N12" s="40" t="s">
        <v>926</v>
      </c>
      <c r="O12" s="40" t="s">
        <v>931</v>
      </c>
      <c r="P12" s="28"/>
    </row>
    <row r="13" spans="1:16" x14ac:dyDescent="0.2">
      <c r="A13" s="25"/>
      <c r="B13" s="41" t="s">
        <v>1050</v>
      </c>
      <c r="C13" s="154">
        <f>IF($B13=" ","",IFERROR(INDEX(MMWR_RATING_RO_ROLLUP[],MATCH($B13,MMWR_RATING_RO_ROLLUP[MMWR_RATING_RO_ROLLUP],0),MATCH(C$9,MMWR_RATING_RO_ROLLUP[#Headers],0)),"ERROR"))</f>
        <v>364497</v>
      </c>
      <c r="D13" s="155">
        <f>IF($B13=" ","",IFERROR(INDEX(MMWR_RATING_RO_ROLLUP[],MATCH($B13,MMWR_RATING_RO_ROLLUP[MMWR_RATING_RO_ROLLUP],0),MATCH(D$9,MMWR_RATING_RO_ROLLUP[#Headers],0)),"ERROR"))</f>
        <v>89.797416713999993</v>
      </c>
      <c r="E13" s="156">
        <f>IF($B13=" ","",IFERROR(INDEX(MMWR_RATING_RO_ROLLUP[],MATCH($B13,MMWR_RATING_RO_ROLLUP[MMWR_RATING_RO_ROLLUP],0),MATCH(E$9,MMWR_RATING_RO_ROLLUP[#Headers],0))/$C13,"ERROR"))</f>
        <v>0.20227875675245613</v>
      </c>
      <c r="F13" s="154">
        <f>IF($B13=" ","",IFERROR(INDEX(MMWR_RATING_RO_ROLLUP[],MATCH($B13,MMWR_RATING_RO_ROLLUP[MMWR_RATING_RO_ROLLUP],0),MATCH(F$9,MMWR_RATING_RO_ROLLUP[#Headers],0)),"ERROR"))</f>
        <v>69676</v>
      </c>
      <c r="G13" s="154">
        <f>IF($B13=" ","",IFERROR(INDEX(MMWR_RATING_RO_ROLLUP[],MATCH($B13,MMWR_RATING_RO_ROLLUP[MMWR_RATING_RO_ROLLUP],0),MATCH(G$9,MMWR_RATING_RO_ROLLUP[#Headers],0)),"ERROR"))</f>
        <v>273315</v>
      </c>
      <c r="H13" s="155">
        <f>IF($B13=" ","",IFERROR(INDEX(MMWR_RATING_RO_ROLLUP[],MATCH($B13,MMWR_RATING_RO_ROLLUP[MMWR_RATING_RO_ROLLUP],0),MATCH(H$9,MMWR_RATING_RO_ROLLUP[#Headers],0)),"ERROR"))</f>
        <v>128.14261725700001</v>
      </c>
      <c r="I13" s="155">
        <f>IF($B13=" ","",IFERROR(INDEX(MMWR_RATING_RO_ROLLUP[],MATCH($B13,MMWR_RATING_RO_ROLLUP[MMWR_RATING_RO_ROLLUP],0),MATCH(I$9,MMWR_RATING_RO_ROLLUP[#Headers],0)),"ERROR"))</f>
        <v>128.173064047</v>
      </c>
      <c r="J13" s="42"/>
      <c r="K13" s="42"/>
      <c r="L13" s="42"/>
      <c r="M13" s="42"/>
      <c r="N13" s="42"/>
      <c r="O13" s="42"/>
      <c r="P13" s="28"/>
    </row>
    <row r="14" spans="1:16" x14ac:dyDescent="0.2">
      <c r="A14" s="25"/>
      <c r="B14" s="357" t="s">
        <v>732</v>
      </c>
      <c r="C14" s="358"/>
      <c r="D14" s="358"/>
      <c r="E14" s="358"/>
      <c r="F14" s="358"/>
      <c r="G14" s="358"/>
      <c r="H14" s="358"/>
      <c r="I14" s="358"/>
      <c r="J14" s="358"/>
      <c r="K14" s="358"/>
      <c r="L14" s="358"/>
      <c r="M14" s="358"/>
      <c r="N14" s="358"/>
      <c r="O14" s="358"/>
      <c r="P14" s="28"/>
    </row>
    <row r="15" spans="1:16" x14ac:dyDescent="0.2">
      <c r="A15" s="25"/>
      <c r="B15" s="41" t="s">
        <v>728</v>
      </c>
      <c r="C15" s="154">
        <f>IF($B15=" ","",IFERROR(INDEX(MMWR_RATING_RO_ROLLUP[],MATCH($B15,MMWR_RATING_RO_ROLLUP[MMWR_RATING_RO_ROLLUP],0),MATCH(C$9,MMWR_RATING_RO_ROLLUP[#Headers],0)),"ERROR"))</f>
        <v>315769</v>
      </c>
      <c r="D15" s="155">
        <f>IF($B15=" ","",IFERROR(INDEX(MMWR_RATING_RO_ROLLUP[],MATCH($B15,MMWR_RATING_RO_ROLLUP[MMWR_RATING_RO_ROLLUP],0),MATCH(D$9,MMWR_RATING_RO_ROLLUP[#Headers],0)),"ERROR"))</f>
        <v>92.482656625600001</v>
      </c>
      <c r="E15" s="156">
        <f>IF($B15=" ","",IFERROR(INDEX(MMWR_RATING_RO_ROLLUP[],MATCH($B15,MMWR_RATING_RO_ROLLUP[MMWR_RATING_RO_ROLLUP],0),MATCH(E$9,MMWR_RATING_RO_ROLLUP[#Headers],0))/$C15,"ERROR"))</f>
        <v>0.21373219030367135</v>
      </c>
      <c r="F15" s="154">
        <f>IF($B15=" ","",IFERROR(INDEX(MMWR_RATING_RO_ROLLUP[],MATCH($B15,MMWR_RATING_RO_ROLLUP[MMWR_RATING_RO_ROLLUP],0),MATCH(F$9,MMWR_RATING_RO_ROLLUP[#Headers],0)),"ERROR"))</f>
        <v>58919</v>
      </c>
      <c r="G15" s="154">
        <f>IF($B15=" ","",IFERROR(INDEX(MMWR_RATING_RO_ROLLUP[],MATCH($B15,MMWR_RATING_RO_ROLLUP[MMWR_RATING_RO_ROLLUP],0),MATCH(G$9,MMWR_RATING_RO_ROLLUP[#Headers],0)),"ERROR"))</f>
        <v>232419</v>
      </c>
      <c r="H15" s="155">
        <f>IF($B15=" ","",IFERROR(INDEX(MMWR_RATING_RO_ROLLUP[],MATCH($B15,MMWR_RATING_RO_ROLLUP[MMWR_RATING_RO_ROLLUP],0),MATCH(H$9,MMWR_RATING_RO_ROLLUP[#Headers],0)),"ERROR"))</f>
        <v>134.91675011460001</v>
      </c>
      <c r="I15" s="155">
        <f>IF($B15=" ","",IFERROR(INDEX(MMWR_RATING_RO_ROLLUP[],MATCH($B15,MMWR_RATING_RO_ROLLUP[MMWR_RATING_RO_ROLLUP],0),MATCH(I$9,MMWR_RATING_RO_ROLLUP[#Headers],0)),"ERROR"))</f>
        <v>135.72065106549999</v>
      </c>
      <c r="J15" s="157">
        <f>VLOOKUP($B$13,MMWR_ACCURACY_RO[],MATCH(J$9,MMWR_ACCURACY_RO[#Headers],0),0)</f>
        <v>0.96302893320757221</v>
      </c>
      <c r="K15" s="157">
        <f>VLOOKUP($B$13,MMWR_ACCURACY_RO[],MATCH(K$9,MMWR_ACCURACY_RO[#Headers],0),0)</f>
        <v>0.9018949024373043</v>
      </c>
      <c r="L15" s="157">
        <f>VLOOKUP($B$13,MMWR_ACCURACY_RO[],MATCH(L$9,MMWR_ACCURACY_RO[#Headers],0),0)</f>
        <v>0.90319910745629872</v>
      </c>
      <c r="M15" s="157">
        <f>VLOOKUP($B$13,MMWR_ACCURACY_RO[],MATCH(M$9,MMWR_ACCURACY_RO[#Headers],0),0)</f>
        <v>7.5337381709705657E-3</v>
      </c>
      <c r="N15" s="157">
        <f>VLOOKUP($B$13,MMWR_ACCURACY_RO[],MATCH(N$9,MMWR_ACCURACY_RO[#Headers],0),0)</f>
        <v>0.90822738940094705</v>
      </c>
      <c r="O15" s="157">
        <f>VLOOKUP($B$13,MMWR_ACCURACY_RO[],MATCH(O$9,MMWR_ACCURACY_RO[#Headers],0),0)</f>
        <v>8.8258353019992335E-3</v>
      </c>
      <c r="P15" s="28"/>
    </row>
    <row r="16" spans="1:16" x14ac:dyDescent="0.2">
      <c r="A16" s="25"/>
      <c r="B16" s="248" t="s">
        <v>369</v>
      </c>
      <c r="C16" s="154">
        <f>IF($B16=" ","",IFERROR(INDEX(MMWR_RATING_RO_ROLLUP[],MATCH($B16,MMWR_RATING_RO_ROLLUP[MMWR_RATING_RO_ROLLUP],0),MATCH(C$9,MMWR_RATING_RO_ROLLUP[#Headers],0)),"ERROR"))</f>
        <v>69275</v>
      </c>
      <c r="D16" s="155">
        <f>IF($B16=" ","",IFERROR(INDEX(MMWR_RATING_RO_ROLLUP[],MATCH($B16,MMWR_RATING_RO_ROLLUP[MMWR_RATING_RO_ROLLUP],0),MATCH(D$9,MMWR_RATING_RO_ROLLUP[#Headers],0)),"ERROR"))</f>
        <v>92.2583760375</v>
      </c>
      <c r="E16" s="156">
        <f>IF($B16=" ","",IFERROR(INDEX(MMWR_RATING_RO_ROLLUP[],MATCH($B16,MMWR_RATING_RO_ROLLUP[MMWR_RATING_RO_ROLLUP],0),MATCH(E$9,MMWR_RATING_RO_ROLLUP[#Headers],0))/$C16,"ERROR"))</f>
        <v>0.21286178274990977</v>
      </c>
      <c r="F16" s="154">
        <f>IF($B16=" ","",IFERROR(INDEX(MMWR_RATING_RO_ROLLUP[],MATCH($B16,MMWR_RATING_RO_ROLLUP[MMWR_RATING_RO_ROLLUP],0),MATCH(F$9,MMWR_RATING_RO_ROLLUP[#Headers],0)),"ERROR"))</f>
        <v>12503</v>
      </c>
      <c r="G16" s="154">
        <f>IF($B16=" ","",IFERROR(INDEX(MMWR_RATING_RO_ROLLUP[],MATCH($B16,MMWR_RATING_RO_ROLLUP[MMWR_RATING_RO_ROLLUP],0),MATCH(G$9,MMWR_RATING_RO_ROLLUP[#Headers],0)),"ERROR"))</f>
        <v>50231</v>
      </c>
      <c r="H16" s="155">
        <f>IF($B16=" ","",IFERROR(INDEX(MMWR_RATING_RO_ROLLUP[],MATCH($B16,MMWR_RATING_RO_ROLLUP[MMWR_RATING_RO_ROLLUP],0),MATCH(H$9,MMWR_RATING_RO_ROLLUP[#Headers],0)),"ERROR"))</f>
        <v>135.63648724309999</v>
      </c>
      <c r="I16" s="155">
        <f>IF($B16=" ","",IFERROR(INDEX(MMWR_RATING_RO_ROLLUP[],MATCH($B16,MMWR_RATING_RO_ROLLUP[MMWR_RATING_RO_ROLLUP],0),MATCH(I$9,MMWR_RATING_RO_ROLLUP[#Headers],0)),"ERROR"))</f>
        <v>135.0051760865</v>
      </c>
      <c r="J16" s="158">
        <f>IF($B16=" ","",IFERROR(VLOOKUP($B16,MMWR_ACCURACY_RO[],MATCH(J$9,MMWR_ACCURACY_RO[#Headers],0),0),"ERROR"))</f>
        <v>0.96509265269579259</v>
      </c>
      <c r="K16" s="158">
        <f>IF($B16=" ","",IFERROR(VLOOKUP($B16,MMWR_ACCURACY_RO[],MATCH(K$9,MMWR_ACCURACY_RO[#Headers],0),0),"ERROR"))</f>
        <v>0.88915597034621041</v>
      </c>
      <c r="L16" s="158">
        <f>IF($B16=" ","",IFERROR(VLOOKUP($B16,MMWR_ACCURACY_RO[],MATCH(L$9,MMWR_ACCURACY_RO[#Headers],0),0),"ERROR"))</f>
        <v>0.87230660699508245</v>
      </c>
      <c r="M16" s="158">
        <f>IF($B16=" ","",IFERROR(VLOOKUP($B16,MMWR_ACCURACY_RO[],MATCH(M$9,MMWR_ACCURACY_RO[#Headers],0),0),"ERROR"))</f>
        <v>1.6710481666821906E-2</v>
      </c>
      <c r="N16" s="158">
        <f>IF($B16=" ","",IFERROR(VLOOKUP($B16,MMWR_ACCURACY_RO[],MATCH(N$9,MMWR_ACCURACY_RO[#Headers],0),0),"ERROR"))</f>
        <v>0.89276885898611813</v>
      </c>
      <c r="O16" s="158">
        <f>IF($B16=" ","",IFERROR(VLOOKUP($B16,MMWR_ACCURACY_RO[],MATCH(O$9,MMWR_ACCURACY_RO[#Headers],0),0),"ERROR"))</f>
        <v>1.6002069137405997E-2</v>
      </c>
      <c r="P16" s="28"/>
    </row>
    <row r="17" spans="1:16" x14ac:dyDescent="0.2">
      <c r="A17" s="25"/>
      <c r="B17" s="8" t="str">
        <f>VLOOKUP($B$16,DISTRICT_RO[],2,0)</f>
        <v>Baltimore VSC</v>
      </c>
      <c r="C17" s="154">
        <f>IF($B17=" ","",IFERROR(INDEX(MMWR_RATING_RO_ROLLUP[],MATCH($B17,MMWR_RATING_RO_ROLLUP[MMWR_RATING_RO_ROLLUP],0),MATCH(C$9,MMWR_RATING_RO_ROLLUP[#Headers],0)),"ERROR"))</f>
        <v>2586</v>
      </c>
      <c r="D17" s="155">
        <f>IF($B17=" ","",IFERROR(INDEX(MMWR_RATING_RO_ROLLUP[],MATCH($B17,MMWR_RATING_RO_ROLLUP[MMWR_RATING_RO_ROLLUP],0),MATCH(D$9,MMWR_RATING_RO_ROLLUP[#Headers],0)),"ERROR"))</f>
        <v>84.533642691400004</v>
      </c>
      <c r="E17" s="156">
        <f>IF($B17=" ","",IFERROR(INDEX(MMWR_RATING_RO_ROLLUP[],MATCH($B17,MMWR_RATING_RO_ROLLUP[MMWR_RATING_RO_ROLLUP],0),MATCH(E$9,MMWR_RATING_RO_ROLLUP[#Headers],0))/$C17,"ERROR"))</f>
        <v>0.18754833720030936</v>
      </c>
      <c r="F17" s="154">
        <f>IF($B17=" ","",IFERROR(INDEX(MMWR_RATING_RO_ROLLUP[],MATCH($B17,MMWR_RATING_RO_ROLLUP[MMWR_RATING_RO_ROLLUP],0),MATCH(F$9,MMWR_RATING_RO_ROLLUP[#Headers],0)),"ERROR"))</f>
        <v>544</v>
      </c>
      <c r="G17" s="154">
        <f>IF($B17=" ","",IFERROR(INDEX(MMWR_RATING_RO_ROLLUP[],MATCH($B17,MMWR_RATING_RO_ROLLUP[MMWR_RATING_RO_ROLLUP],0),MATCH(G$9,MMWR_RATING_RO_ROLLUP[#Headers],0)),"ERROR"))</f>
        <v>2200</v>
      </c>
      <c r="H17" s="155">
        <f>IF($B17=" ","",IFERROR(INDEX(MMWR_RATING_RO_ROLLUP[],MATCH($B17,MMWR_RATING_RO_ROLLUP[MMWR_RATING_RO_ROLLUP],0),MATCH(H$9,MMWR_RATING_RO_ROLLUP[#Headers],0)),"ERROR"))</f>
        <v>119.9393382353</v>
      </c>
      <c r="I17" s="155">
        <f>IF($B17=" ","",IFERROR(INDEX(MMWR_RATING_RO_ROLLUP[],MATCH($B17,MMWR_RATING_RO_ROLLUP[MMWR_RATING_RO_ROLLUP],0),MATCH(I$9,MMWR_RATING_RO_ROLLUP[#Headers],0)),"ERROR"))</f>
        <v>129.28727272730001</v>
      </c>
      <c r="J17" s="158">
        <f>IF($B17=" ","",IFERROR(VLOOKUP($B17,MMWR_ACCURACY_RO[],MATCH(J$9,MMWR_ACCURACY_RO[#Headers],0),0),"ERROR"))</f>
        <v>0.95020192985309282</v>
      </c>
      <c r="K17" s="158">
        <f>IF($B17=" ","",IFERROR(VLOOKUP($B17,MMWR_ACCURACY_RO[],MATCH(K$9,MMWR_ACCURACY_RO[#Headers],0),0),"ERROR"))</f>
        <v>0.8032912069031346</v>
      </c>
      <c r="L17" s="158">
        <f>IF($B17=" ","",IFERROR(VLOOKUP($B17,MMWR_ACCURACY_RO[],MATCH(L$9,MMWR_ACCURACY_RO[#Headers],0),0),"ERROR"))</f>
        <v>0.83704533653377067</v>
      </c>
      <c r="M17" s="158">
        <f>IF($B17=" ","",IFERROR(VLOOKUP($B17,MMWR_ACCURACY_RO[],MATCH(M$9,MMWR_ACCURACY_RO[#Headers],0),0),"ERROR"))</f>
        <v>4.6605980709748994E-2</v>
      </c>
      <c r="N17" s="158">
        <f>IF($B17=" ","",IFERROR(VLOOKUP($B17,MMWR_ACCURACY_RO[],MATCH(N$9,MMWR_ACCURACY_RO[#Headers],0),0),"ERROR"))</f>
        <v>0.86662322020532823</v>
      </c>
      <c r="O17" s="158">
        <f>IF($B17=" ","",IFERROR(VLOOKUP($B17,MMWR_ACCURACY_RO[],MATCH(O$9,MMWR_ACCURACY_RO[#Headers],0),0),"ERROR"))</f>
        <v>4.9817097387363916E-2</v>
      </c>
      <c r="P17" s="28"/>
    </row>
    <row r="18" spans="1:16" x14ac:dyDescent="0.2">
      <c r="A18" s="25"/>
      <c r="B18" s="8" t="str">
        <f>VLOOKUP($B$16,DISTRICT_RO[],3,0)</f>
        <v>Boston VSC</v>
      </c>
      <c r="C18" s="154">
        <f>IF($B18=" ","",IFERROR(INDEX(MMWR_RATING_RO_ROLLUP[],MATCH($B18,MMWR_RATING_RO_ROLLUP[MMWR_RATING_RO_ROLLUP],0),MATCH(C$9,MMWR_RATING_RO_ROLLUP[#Headers],0)),"ERROR"))</f>
        <v>3226</v>
      </c>
      <c r="D18" s="155">
        <f>IF($B18=" ","",IFERROR(INDEX(MMWR_RATING_RO_ROLLUP[],MATCH($B18,MMWR_RATING_RO_ROLLUP[MMWR_RATING_RO_ROLLUP],0),MATCH(D$9,MMWR_RATING_RO_ROLLUP[#Headers],0)),"ERROR"))</f>
        <v>85.896466212000007</v>
      </c>
      <c r="E18" s="156">
        <f>IF($B18=" ","",IFERROR(INDEX(MMWR_RATING_RO_ROLLUP[],MATCH($B18,MMWR_RATING_RO_ROLLUP[MMWR_RATING_RO_ROLLUP],0),MATCH(E$9,MMWR_RATING_RO_ROLLUP[#Headers],0))/$C18,"ERROR"))</f>
        <v>0.20179789212647242</v>
      </c>
      <c r="F18" s="154">
        <f>IF($B18=" ","",IFERROR(INDEX(MMWR_RATING_RO_ROLLUP[],MATCH($B18,MMWR_RATING_RO_ROLLUP[MMWR_RATING_RO_ROLLUP],0),MATCH(F$9,MMWR_RATING_RO_ROLLUP[#Headers],0)),"ERROR"))</f>
        <v>612</v>
      </c>
      <c r="G18" s="154">
        <f>IF($B18=" ","",IFERROR(INDEX(MMWR_RATING_RO_ROLLUP[],MATCH($B18,MMWR_RATING_RO_ROLLUP[MMWR_RATING_RO_ROLLUP],0),MATCH(G$9,MMWR_RATING_RO_ROLLUP[#Headers],0)),"ERROR"))</f>
        <v>2370</v>
      </c>
      <c r="H18" s="155">
        <f>IF($B18=" ","",IFERROR(INDEX(MMWR_RATING_RO_ROLLUP[],MATCH($B18,MMWR_RATING_RO_ROLLUP[MMWR_RATING_RO_ROLLUP],0),MATCH(H$9,MMWR_RATING_RO_ROLLUP[#Headers],0)),"ERROR"))</f>
        <v>120.10784313729999</v>
      </c>
      <c r="I18" s="155">
        <f>IF($B18=" ","",IFERROR(INDEX(MMWR_RATING_RO_ROLLUP[],MATCH($B18,MMWR_RATING_RO_ROLLUP[MMWR_RATING_RO_ROLLUP],0),MATCH(I$9,MMWR_RATING_RO_ROLLUP[#Headers],0)),"ERROR"))</f>
        <v>113.87299578059999</v>
      </c>
      <c r="J18" s="158">
        <f>IF($B18=" ","",IFERROR(VLOOKUP($B18,MMWR_ACCURACY_RO[],MATCH(J$9,MMWR_ACCURACY_RO[#Headers],0),0),"ERROR"))</f>
        <v>0.91706819540674567</v>
      </c>
      <c r="K18" s="158">
        <f>IF($B18=" ","",IFERROR(VLOOKUP($B18,MMWR_ACCURACY_RO[],MATCH(K$9,MMWR_ACCURACY_RO[#Headers],0),0),"ERROR"))</f>
        <v>0.83029133029133018</v>
      </c>
      <c r="L18" s="158">
        <f>IF($B18=" ","",IFERROR(VLOOKUP($B18,MMWR_ACCURACY_RO[],MATCH(L$9,MMWR_ACCURACY_RO[#Headers],0),0),"ERROR"))</f>
        <v>0.82793141316827235</v>
      </c>
      <c r="M18" s="158">
        <f>IF($B18=" ","",IFERROR(VLOOKUP($B18,MMWR_ACCURACY_RO[],MATCH(M$9,MMWR_ACCURACY_RO[#Headers],0),0),"ERROR"))</f>
        <v>5.8542969046113245E-2</v>
      </c>
      <c r="N18" s="158">
        <f>IF($B18=" ","",IFERROR(VLOOKUP($B18,MMWR_ACCURACY_RO[],MATCH(N$9,MMWR_ACCURACY_RO[#Headers],0),0),"ERROR"))</f>
        <v>0.91525336038029659</v>
      </c>
      <c r="O18" s="158">
        <f>IF($B18=" ","",IFERROR(VLOOKUP($B18,MMWR_ACCURACY_RO[],MATCH(O$9,MMWR_ACCURACY_RO[#Headers],0),0),"ERROR"))</f>
        <v>5.5956485067688175E-2</v>
      </c>
      <c r="P18" s="28"/>
    </row>
    <row r="19" spans="1:16" x14ac:dyDescent="0.2">
      <c r="A19" s="25"/>
      <c r="B19" s="8" t="str">
        <f>VLOOKUP($B$16,DISTRICT_RO[],4,0)</f>
        <v>Buffalo VSC</v>
      </c>
      <c r="C19" s="154">
        <f>IF($B19=" ","",IFERROR(INDEX(MMWR_RATING_RO_ROLLUP[],MATCH($B19,MMWR_RATING_RO_ROLLUP[MMWR_RATING_RO_ROLLUP],0),MATCH(C$9,MMWR_RATING_RO_ROLLUP[#Headers],0)),"ERROR"))</f>
        <v>3110</v>
      </c>
      <c r="D19" s="155">
        <f>IF($B19=" ","",IFERROR(INDEX(MMWR_RATING_RO_ROLLUP[],MATCH($B19,MMWR_RATING_RO_ROLLUP[MMWR_RATING_RO_ROLLUP],0),MATCH(D$9,MMWR_RATING_RO_ROLLUP[#Headers],0)),"ERROR"))</f>
        <v>80.204180064300004</v>
      </c>
      <c r="E19" s="156">
        <f>IF($B19=" ","",IFERROR(INDEX(MMWR_RATING_RO_ROLLUP[],MATCH($B19,MMWR_RATING_RO_ROLLUP[MMWR_RATING_RO_ROLLUP],0),MATCH(E$9,MMWR_RATING_RO_ROLLUP[#Headers],0))/$C19,"ERROR"))</f>
        <v>0.15948553054662379</v>
      </c>
      <c r="F19" s="154">
        <f>IF($B19=" ","",IFERROR(INDEX(MMWR_RATING_RO_ROLLUP[],MATCH($B19,MMWR_RATING_RO_ROLLUP[MMWR_RATING_RO_ROLLUP],0),MATCH(F$9,MMWR_RATING_RO_ROLLUP[#Headers],0)),"ERROR"))</f>
        <v>557</v>
      </c>
      <c r="G19" s="154">
        <f>IF($B19=" ","",IFERROR(INDEX(MMWR_RATING_RO_ROLLUP[],MATCH($B19,MMWR_RATING_RO_ROLLUP[MMWR_RATING_RO_ROLLUP],0),MATCH(G$9,MMWR_RATING_RO_ROLLUP[#Headers],0)),"ERROR"))</f>
        <v>2243</v>
      </c>
      <c r="H19" s="155">
        <f>IF($B19=" ","",IFERROR(INDEX(MMWR_RATING_RO_ROLLUP[],MATCH($B19,MMWR_RATING_RO_ROLLUP[MMWR_RATING_RO_ROLLUP],0),MATCH(H$9,MMWR_RATING_RO_ROLLUP[#Headers],0)),"ERROR"))</f>
        <v>141.73070017949999</v>
      </c>
      <c r="I19" s="155">
        <f>IF($B19=" ","",IFERROR(INDEX(MMWR_RATING_RO_ROLLUP[],MATCH($B19,MMWR_RATING_RO_ROLLUP[MMWR_RATING_RO_ROLLUP],0),MATCH(I$9,MMWR_RATING_RO_ROLLUP[#Headers],0)),"ERROR"))</f>
        <v>145.3553276861</v>
      </c>
      <c r="J19" s="158">
        <f>IF($B19=" ","",IFERROR(VLOOKUP($B19,MMWR_ACCURACY_RO[],MATCH(J$9,MMWR_ACCURACY_RO[#Headers],0),0),"ERROR"))</f>
        <v>0.97656463248196534</v>
      </c>
      <c r="K19" s="158">
        <f>IF($B19=" ","",IFERROR(VLOOKUP($B19,MMWR_ACCURACY_RO[],MATCH(K$9,MMWR_ACCURACY_RO[#Headers],0),0),"ERROR"))</f>
        <v>0.92374234960441859</v>
      </c>
      <c r="L19" s="158">
        <f>IF($B19=" ","",IFERROR(VLOOKUP($B19,MMWR_ACCURACY_RO[],MATCH(L$9,MMWR_ACCURACY_RO[#Headers],0),0),"ERROR"))</f>
        <v>0.88581863935522454</v>
      </c>
      <c r="M19" s="158">
        <f>IF($B19=" ","",IFERROR(VLOOKUP($B19,MMWR_ACCURACY_RO[],MATCH(M$9,MMWR_ACCURACY_RO[#Headers],0),0),"ERROR"))</f>
        <v>4.9569999406535815E-2</v>
      </c>
      <c r="N19" s="158">
        <f>IF($B19=" ","",IFERROR(VLOOKUP($B19,MMWR_ACCURACY_RO[],MATCH(N$9,MMWR_ACCURACY_RO[#Headers],0),0),"ERROR"))</f>
        <v>0.87522193823655736</v>
      </c>
      <c r="O19" s="158">
        <f>IF($B19=" ","",IFERROR(VLOOKUP($B19,MMWR_ACCURACY_RO[],MATCH(O$9,MMWR_ACCURACY_RO[#Headers],0),0),"ERROR"))</f>
        <v>4.7629350570120937E-2</v>
      </c>
      <c r="P19" s="28"/>
    </row>
    <row r="20" spans="1:16" x14ac:dyDescent="0.2">
      <c r="A20" s="25"/>
      <c r="B20" s="8" t="str">
        <f>VLOOKUP($B$16,DISTRICT_RO[],5,0)</f>
        <v>Hartford VSC</v>
      </c>
      <c r="C20" s="154">
        <f>IF($B20=" ","",IFERROR(INDEX(MMWR_RATING_RO_ROLLUP[],MATCH($B20,MMWR_RATING_RO_ROLLUP[MMWR_RATING_RO_ROLLUP],0),MATCH(C$9,MMWR_RATING_RO_ROLLUP[#Headers],0)),"ERROR"))</f>
        <v>3159</v>
      </c>
      <c r="D20" s="155">
        <f>IF($B20=" ","",IFERROR(INDEX(MMWR_RATING_RO_ROLLUP[],MATCH($B20,MMWR_RATING_RO_ROLLUP[MMWR_RATING_RO_ROLLUP],0),MATCH(D$9,MMWR_RATING_RO_ROLLUP[#Headers],0)),"ERROR"))</f>
        <v>89.485913263699999</v>
      </c>
      <c r="E20" s="156">
        <f>IF($B20=" ","",IFERROR(INDEX(MMWR_RATING_RO_ROLLUP[],MATCH($B20,MMWR_RATING_RO_ROLLUP[MMWR_RATING_RO_ROLLUP],0),MATCH(E$9,MMWR_RATING_RO_ROLLUP[#Headers],0))/$C20,"ERROR"))</f>
        <v>0.17632162076606522</v>
      </c>
      <c r="F20" s="154">
        <f>IF($B20=" ","",IFERROR(INDEX(MMWR_RATING_RO_ROLLUP[],MATCH($B20,MMWR_RATING_RO_ROLLUP[MMWR_RATING_RO_ROLLUP],0),MATCH(F$9,MMWR_RATING_RO_ROLLUP[#Headers],0)),"ERROR"))</f>
        <v>416</v>
      </c>
      <c r="G20" s="154">
        <f>IF($B20=" ","",IFERROR(INDEX(MMWR_RATING_RO_ROLLUP[],MATCH($B20,MMWR_RATING_RO_ROLLUP[MMWR_RATING_RO_ROLLUP],0),MATCH(G$9,MMWR_RATING_RO_ROLLUP[#Headers],0)),"ERROR"))</f>
        <v>2018</v>
      </c>
      <c r="H20" s="155">
        <f>IF($B20=" ","",IFERROR(INDEX(MMWR_RATING_RO_ROLLUP[],MATCH($B20,MMWR_RATING_RO_ROLLUP[MMWR_RATING_RO_ROLLUP],0),MATCH(H$9,MMWR_RATING_RO_ROLLUP[#Headers],0)),"ERROR"))</f>
        <v>146.75480769230001</v>
      </c>
      <c r="I20" s="155">
        <f>IF($B20=" ","",IFERROR(INDEX(MMWR_RATING_RO_ROLLUP[],MATCH($B20,MMWR_RATING_RO_ROLLUP[MMWR_RATING_RO_ROLLUP],0),MATCH(I$9,MMWR_RATING_RO_ROLLUP[#Headers],0)),"ERROR"))</f>
        <v>137.05599603569999</v>
      </c>
      <c r="J20" s="158">
        <f>IF($B20=" ","",IFERROR(VLOOKUP($B20,MMWR_ACCURACY_RO[],MATCH(J$9,MMWR_ACCURACY_RO[#Headers],0),0),"ERROR"))</f>
        <v>0.97054664400291391</v>
      </c>
      <c r="K20" s="158">
        <f>IF($B20=" ","",IFERROR(VLOOKUP($B20,MMWR_ACCURACY_RO[],MATCH(K$9,MMWR_ACCURACY_RO[#Headers],0),0),"ERROR"))</f>
        <v>0.90484696915565077</v>
      </c>
      <c r="L20" s="158">
        <f>IF($B20=" ","",IFERROR(VLOOKUP($B20,MMWR_ACCURACY_RO[],MATCH(L$9,MMWR_ACCURACY_RO[#Headers],0),0),"ERROR"))</f>
        <v>0.91229359862054049</v>
      </c>
      <c r="M20" s="158">
        <f>IF($B20=" ","",IFERROR(VLOOKUP($B20,MMWR_ACCURACY_RO[],MATCH(M$9,MMWR_ACCURACY_RO[#Headers],0),0),"ERROR"))</f>
        <v>4.4833904578174925E-2</v>
      </c>
      <c r="N20" s="158">
        <f>IF($B20=" ","",IFERROR(VLOOKUP($B20,MMWR_ACCURACY_RO[],MATCH(N$9,MMWR_ACCURACY_RO[#Headers],0),0),"ERROR"))</f>
        <v>0.96706286742266068</v>
      </c>
      <c r="O20" s="158">
        <f>IF($B20=" ","",IFERROR(VLOOKUP($B20,MMWR_ACCURACY_RO[],MATCH(O$9,MMWR_ACCURACY_RO[#Headers],0),0),"ERROR"))</f>
        <v>3.3241064958263136E-2</v>
      </c>
      <c r="P20" s="28"/>
    </row>
    <row r="21" spans="1:16" x14ac:dyDescent="0.2">
      <c r="A21" s="25"/>
      <c r="B21" s="8" t="str">
        <f>VLOOKUP($B$16,DISTRICT_RO[],6,0)</f>
        <v>Huntington VSC</v>
      </c>
      <c r="C21" s="154">
        <f>IF($B21=" ","",IFERROR(INDEX(MMWR_RATING_RO_ROLLUP[],MATCH($B21,MMWR_RATING_RO_ROLLUP[MMWR_RATING_RO_ROLLUP],0),MATCH(C$9,MMWR_RATING_RO_ROLLUP[#Headers],0)),"ERROR"))</f>
        <v>5379</v>
      </c>
      <c r="D21" s="155">
        <f>IF($B21=" ","",IFERROR(INDEX(MMWR_RATING_RO_ROLLUP[],MATCH($B21,MMWR_RATING_RO_ROLLUP[MMWR_RATING_RO_ROLLUP],0),MATCH(D$9,MMWR_RATING_RO_ROLLUP[#Headers],0)),"ERROR"))</f>
        <v>94.840862613900001</v>
      </c>
      <c r="E21" s="156">
        <f>IF($B21=" ","",IFERROR(INDEX(MMWR_RATING_RO_ROLLUP[],MATCH($B21,MMWR_RATING_RO_ROLLUP[MMWR_RATING_RO_ROLLUP],0),MATCH(E$9,MMWR_RATING_RO_ROLLUP[#Headers],0))/$C21,"ERROR"))</f>
        <v>0.19706265105038112</v>
      </c>
      <c r="F21" s="154">
        <f>IF($B21=" ","",IFERROR(INDEX(MMWR_RATING_RO_ROLLUP[],MATCH($B21,MMWR_RATING_RO_ROLLUP[MMWR_RATING_RO_ROLLUP],0),MATCH(F$9,MMWR_RATING_RO_ROLLUP[#Headers],0)),"ERROR"))</f>
        <v>1122</v>
      </c>
      <c r="G21" s="154">
        <f>IF($B21=" ","",IFERROR(INDEX(MMWR_RATING_RO_ROLLUP[],MATCH($B21,MMWR_RATING_RO_ROLLUP[MMWR_RATING_RO_ROLLUP],0),MATCH(G$9,MMWR_RATING_RO_ROLLUP[#Headers],0)),"ERROR"))</f>
        <v>4080</v>
      </c>
      <c r="H21" s="155">
        <f>IF($B21=" ","",IFERROR(INDEX(MMWR_RATING_RO_ROLLUP[],MATCH($B21,MMWR_RATING_RO_ROLLUP[MMWR_RATING_RO_ROLLUP],0),MATCH(H$9,MMWR_RATING_RO_ROLLUP[#Headers],0)),"ERROR"))</f>
        <v>138.4483065954</v>
      </c>
      <c r="I21" s="155">
        <f>IF($B21=" ","",IFERROR(INDEX(MMWR_RATING_RO_ROLLUP[],MATCH($B21,MMWR_RATING_RO_ROLLUP[MMWR_RATING_RO_ROLLUP],0),MATCH(I$9,MMWR_RATING_RO_ROLLUP[#Headers],0)),"ERROR"))</f>
        <v>135.82450980390001</v>
      </c>
      <c r="J21" s="158">
        <f>IF($B21=" ","",IFERROR(VLOOKUP($B21,MMWR_ACCURACY_RO[],MATCH(J$9,MMWR_ACCURACY_RO[#Headers],0),0),"ERROR"))</f>
        <v>0.97282677228539993</v>
      </c>
      <c r="K21" s="158">
        <f>IF($B21=" ","",IFERROR(VLOOKUP($B21,MMWR_ACCURACY_RO[],MATCH(K$9,MMWR_ACCURACY_RO[#Headers],0),0),"ERROR"))</f>
        <v>0.89002718974558159</v>
      </c>
      <c r="L21" s="158">
        <f>IF($B21=" ","",IFERROR(VLOOKUP($B21,MMWR_ACCURACY_RO[],MATCH(L$9,MMWR_ACCURACY_RO[#Headers],0),0),"ERROR"))</f>
        <v>0.8966879945112981</v>
      </c>
      <c r="M21" s="158">
        <f>IF($B21=" ","",IFERROR(VLOOKUP($B21,MMWR_ACCURACY_RO[],MATCH(M$9,MMWR_ACCURACY_RO[#Headers],0),0),"ERROR"))</f>
        <v>4.4971664608771104E-2</v>
      </c>
      <c r="N21" s="158">
        <f>IF($B21=" ","",IFERROR(VLOOKUP($B21,MMWR_ACCURACY_RO[],MATCH(N$9,MMWR_ACCURACY_RO[#Headers],0),0),"ERROR"))</f>
        <v>0.90584974990550005</v>
      </c>
      <c r="O21" s="158">
        <f>IF($B21=" ","",IFERROR(VLOOKUP($B21,MMWR_ACCURACY_RO[],MATCH(O$9,MMWR_ACCURACY_RO[#Headers],0),0),"ERROR"))</f>
        <v>4.8124312022041878E-2</v>
      </c>
      <c r="P21" s="28"/>
    </row>
    <row r="22" spans="1:16" x14ac:dyDescent="0.2">
      <c r="A22" s="25"/>
      <c r="B22" s="8" t="str">
        <f>VLOOKUP($B$16,DISTRICT_RO[],7,0)</f>
        <v>Manchester VSC</v>
      </c>
      <c r="C22" s="154">
        <f>IF($B22=" ","",IFERROR(INDEX(MMWR_RATING_RO_ROLLUP[],MATCH($B22,MMWR_RATING_RO_ROLLUP[MMWR_RATING_RO_ROLLUP],0),MATCH(C$9,MMWR_RATING_RO_ROLLUP[#Headers],0)),"ERROR"))</f>
        <v>1216</v>
      </c>
      <c r="D22" s="155">
        <f>IF($B22=" ","",IFERROR(INDEX(MMWR_RATING_RO_ROLLUP[],MATCH($B22,MMWR_RATING_RO_ROLLUP[MMWR_RATING_RO_ROLLUP],0),MATCH(D$9,MMWR_RATING_RO_ROLLUP[#Headers],0)),"ERROR"))</f>
        <v>97.334703947400001</v>
      </c>
      <c r="E22" s="156">
        <f>IF($B22=" ","",IFERROR(INDEX(MMWR_RATING_RO_ROLLUP[],MATCH($B22,MMWR_RATING_RO_ROLLUP[MMWR_RATING_RO_ROLLUP],0),MATCH(E$9,MMWR_RATING_RO_ROLLUP[#Headers],0))/$C22,"ERROR"))</f>
        <v>0.21546052631578946</v>
      </c>
      <c r="F22" s="154">
        <f>IF($B22=" ","",IFERROR(INDEX(MMWR_RATING_RO_ROLLUP[],MATCH($B22,MMWR_RATING_RO_ROLLUP[MMWR_RATING_RO_ROLLUP],0),MATCH(F$9,MMWR_RATING_RO_ROLLUP[#Headers],0)),"ERROR"))</f>
        <v>302</v>
      </c>
      <c r="G22" s="154">
        <f>IF($B22=" ","",IFERROR(INDEX(MMWR_RATING_RO_ROLLUP[],MATCH($B22,MMWR_RATING_RO_ROLLUP[MMWR_RATING_RO_ROLLUP],0),MATCH(G$9,MMWR_RATING_RO_ROLLUP[#Headers],0)),"ERROR"))</f>
        <v>887</v>
      </c>
      <c r="H22" s="155">
        <f>IF($B22=" ","",IFERROR(INDEX(MMWR_RATING_RO_ROLLUP[],MATCH($B22,MMWR_RATING_RO_ROLLUP[MMWR_RATING_RO_ROLLUP],0),MATCH(H$9,MMWR_RATING_RO_ROLLUP[#Headers],0)),"ERROR"))</f>
        <v>128.07284768209999</v>
      </c>
      <c r="I22" s="155">
        <f>IF($B22=" ","",IFERROR(INDEX(MMWR_RATING_RO_ROLLUP[],MATCH($B22,MMWR_RATING_RO_ROLLUP[MMWR_RATING_RO_ROLLUP],0),MATCH(I$9,MMWR_RATING_RO_ROLLUP[#Headers],0)),"ERROR"))</f>
        <v>137.51634723789999</v>
      </c>
      <c r="J22" s="158">
        <f>IF($B22=" ","",IFERROR(VLOOKUP($B22,MMWR_ACCURACY_RO[],MATCH(J$9,MMWR_ACCURACY_RO[#Headers],0),0),"ERROR"))</f>
        <v>0.97598645352175517</v>
      </c>
      <c r="K22" s="158">
        <f>IF($B22=" ","",IFERROR(VLOOKUP($B22,MMWR_ACCURACY_RO[],MATCH(K$9,MMWR_ACCURACY_RO[#Headers],0),0),"ERROR"))</f>
        <v>0.96205179282868525</v>
      </c>
      <c r="L22" s="158">
        <f>IF($B22=" ","",IFERROR(VLOOKUP($B22,MMWR_ACCURACY_RO[],MATCH(L$9,MMWR_ACCURACY_RO[#Headers],0),0),"ERROR"))</f>
        <v>0.91863578374431909</v>
      </c>
      <c r="M22" s="158">
        <f>IF($B22=" ","",IFERROR(VLOOKUP($B22,MMWR_ACCURACY_RO[],MATCH(M$9,MMWR_ACCURACY_RO[#Headers],0),0),"ERROR"))</f>
        <v>3.9118647441663656E-2</v>
      </c>
      <c r="N22" s="158">
        <f>IF($B22=" ","",IFERROR(VLOOKUP($B22,MMWR_ACCURACY_RO[],MATCH(N$9,MMWR_ACCURACY_RO[#Headers],0),0),"ERROR"))</f>
        <v>0.9200361352064137</v>
      </c>
      <c r="O22" s="158">
        <f>IF($B22=" ","",IFERROR(VLOOKUP($B22,MMWR_ACCURACY_RO[],MATCH(O$9,MMWR_ACCURACY_RO[#Headers],0),0),"ERROR"))</f>
        <v>4.5700383985787379E-2</v>
      </c>
      <c r="P22" s="28"/>
    </row>
    <row r="23" spans="1:16" x14ac:dyDescent="0.2">
      <c r="A23" s="25"/>
      <c r="B23" s="8" t="str">
        <f>VLOOKUP($B$16,DISTRICT_RO[],8,0)</f>
        <v>New York VSC</v>
      </c>
      <c r="C23" s="154">
        <f>IF($B23=" ","",IFERROR(INDEX(MMWR_RATING_RO_ROLLUP[],MATCH($B23,MMWR_RATING_RO_ROLLUP[MMWR_RATING_RO_ROLLUP],0),MATCH(C$9,MMWR_RATING_RO_ROLLUP[#Headers],0)),"ERROR"))</f>
        <v>3866</v>
      </c>
      <c r="D23" s="155">
        <f>IF($B23=" ","",IFERROR(INDEX(MMWR_RATING_RO_ROLLUP[],MATCH($B23,MMWR_RATING_RO_ROLLUP[MMWR_RATING_RO_ROLLUP],0),MATCH(D$9,MMWR_RATING_RO_ROLLUP[#Headers],0)),"ERROR"))</f>
        <v>91.264097258099994</v>
      </c>
      <c r="E23" s="156">
        <f>IF($B23=" ","",IFERROR(INDEX(MMWR_RATING_RO_ROLLUP[],MATCH($B23,MMWR_RATING_RO_ROLLUP[MMWR_RATING_RO_ROLLUP],0),MATCH(E$9,MMWR_RATING_RO_ROLLUP[#Headers],0))/$C23,"ERROR"))</f>
        <v>0.22736678737713398</v>
      </c>
      <c r="F23" s="154">
        <f>IF($B23=" ","",IFERROR(INDEX(MMWR_RATING_RO_ROLLUP[],MATCH($B23,MMWR_RATING_RO_ROLLUP[MMWR_RATING_RO_ROLLUP],0),MATCH(F$9,MMWR_RATING_RO_ROLLUP[#Headers],0)),"ERROR"))</f>
        <v>568</v>
      </c>
      <c r="G23" s="154">
        <f>IF($B23=" ","",IFERROR(INDEX(MMWR_RATING_RO_ROLLUP[],MATCH($B23,MMWR_RATING_RO_ROLLUP[MMWR_RATING_RO_ROLLUP],0),MATCH(G$9,MMWR_RATING_RO_ROLLUP[#Headers],0)),"ERROR"))</f>
        <v>2467</v>
      </c>
      <c r="H23" s="155">
        <f>IF($B23=" ","",IFERROR(INDEX(MMWR_RATING_RO_ROLLUP[],MATCH($B23,MMWR_RATING_RO_ROLLUP[MMWR_RATING_RO_ROLLUP],0),MATCH(H$9,MMWR_RATING_RO_ROLLUP[#Headers],0)),"ERROR"))</f>
        <v>137.04225352110001</v>
      </c>
      <c r="I23" s="155">
        <f>IF($B23=" ","",IFERROR(INDEX(MMWR_RATING_RO_ROLLUP[],MATCH($B23,MMWR_RATING_RO_ROLLUP[MMWR_RATING_RO_ROLLUP],0),MATCH(I$9,MMWR_RATING_RO_ROLLUP[#Headers],0)),"ERROR"))</f>
        <v>131.0976895014</v>
      </c>
      <c r="J23" s="158">
        <f>IF($B23=" ","",IFERROR(VLOOKUP($B23,MMWR_ACCURACY_RO[],MATCH(J$9,MMWR_ACCURACY_RO[#Headers],0),0),"ERROR"))</f>
        <v>0.95009146915606246</v>
      </c>
      <c r="K23" s="158">
        <f>IF($B23=" ","",IFERROR(VLOOKUP($B23,MMWR_ACCURACY_RO[],MATCH(K$9,MMWR_ACCURACY_RO[#Headers],0),0),"ERROR"))</f>
        <v>0.85112592325707082</v>
      </c>
      <c r="L23" s="158">
        <f>IF($B23=" ","",IFERROR(VLOOKUP($B23,MMWR_ACCURACY_RO[],MATCH(L$9,MMWR_ACCURACY_RO[#Headers],0),0),"ERROR"))</f>
        <v>0.89898706077767865</v>
      </c>
      <c r="M23" s="158">
        <f>IF($B23=" ","",IFERROR(VLOOKUP($B23,MMWR_ACCURACY_RO[],MATCH(M$9,MMWR_ACCURACY_RO[#Headers],0),0),"ERROR"))</f>
        <v>4.752568567591986E-2</v>
      </c>
      <c r="N23" s="158">
        <f>IF($B23=" ","",IFERROR(VLOOKUP($B23,MMWR_ACCURACY_RO[],MATCH(N$9,MMWR_ACCURACY_RO[#Headers],0),0),"ERROR"))</f>
        <v>0.92776992820595927</v>
      </c>
      <c r="O23" s="158">
        <f>IF($B23=" ","",IFERROR(VLOOKUP($B23,MMWR_ACCURACY_RO[],MATCH(O$9,MMWR_ACCURACY_RO[#Headers],0),0),"ERROR"))</f>
        <v>4.0318412272002606E-2</v>
      </c>
      <c r="P23" s="28"/>
    </row>
    <row r="24" spans="1:16" x14ac:dyDescent="0.2">
      <c r="A24" s="25"/>
      <c r="B24" s="8" t="str">
        <f>VLOOKUP($B$16,DISTRICT_RO[],9,0)</f>
        <v>Newark VSC</v>
      </c>
      <c r="C24" s="154">
        <f>IF($B24=" ","",IFERROR(INDEX(MMWR_RATING_RO_ROLLUP[],MATCH($B24,MMWR_RATING_RO_ROLLUP[MMWR_RATING_RO_ROLLUP],0),MATCH(C$9,MMWR_RATING_RO_ROLLUP[#Headers],0)),"ERROR"))</f>
        <v>2347</v>
      </c>
      <c r="D24" s="155">
        <f>IF($B24=" ","",IFERROR(INDEX(MMWR_RATING_RO_ROLLUP[],MATCH($B24,MMWR_RATING_RO_ROLLUP[MMWR_RATING_RO_ROLLUP],0),MATCH(D$9,MMWR_RATING_RO_ROLLUP[#Headers],0)),"ERROR"))</f>
        <v>75.244567532999994</v>
      </c>
      <c r="E24" s="156">
        <f>IF($B24=" ","",IFERROR(INDEX(MMWR_RATING_RO_ROLLUP[],MATCH($B24,MMWR_RATING_RO_ROLLUP[MMWR_RATING_RO_ROLLUP],0),MATCH(E$9,MMWR_RATING_RO_ROLLUP[#Headers],0))/$C24,"ERROR"))</f>
        <v>0.13208351086493395</v>
      </c>
      <c r="F24" s="154">
        <f>IF($B24=" ","",IFERROR(INDEX(MMWR_RATING_RO_ROLLUP[],MATCH($B24,MMWR_RATING_RO_ROLLUP[MMWR_RATING_RO_ROLLUP],0),MATCH(F$9,MMWR_RATING_RO_ROLLUP[#Headers],0)),"ERROR"))</f>
        <v>272</v>
      </c>
      <c r="G24" s="154">
        <f>IF($B24=" ","",IFERROR(INDEX(MMWR_RATING_RO_ROLLUP[],MATCH($B24,MMWR_RATING_RO_ROLLUP[MMWR_RATING_RO_ROLLUP],0),MATCH(G$9,MMWR_RATING_RO_ROLLUP[#Headers],0)),"ERROR"))</f>
        <v>1467</v>
      </c>
      <c r="H24" s="155">
        <f>IF($B24=" ","",IFERROR(INDEX(MMWR_RATING_RO_ROLLUP[],MATCH($B24,MMWR_RATING_RO_ROLLUP[MMWR_RATING_RO_ROLLUP],0),MATCH(H$9,MMWR_RATING_RO_ROLLUP[#Headers],0)),"ERROR"))</f>
        <v>162.0882352941</v>
      </c>
      <c r="I24" s="155">
        <f>IF($B24=" ","",IFERROR(INDEX(MMWR_RATING_RO_ROLLUP[],MATCH($B24,MMWR_RATING_RO_ROLLUP[MMWR_RATING_RO_ROLLUP],0),MATCH(I$9,MMWR_RATING_RO_ROLLUP[#Headers],0)),"ERROR"))</f>
        <v>141.68507157459999</v>
      </c>
      <c r="J24" s="158">
        <f>IF($B24=" ","",IFERROR(VLOOKUP($B24,MMWR_ACCURACY_RO[],MATCH(J$9,MMWR_ACCURACY_RO[#Headers],0),0),"ERROR"))</f>
        <v>0.96757826723070706</v>
      </c>
      <c r="K24" s="158">
        <f>IF($B24=" ","",IFERROR(VLOOKUP($B24,MMWR_ACCURACY_RO[],MATCH(K$9,MMWR_ACCURACY_RO[#Headers],0),0),"ERROR"))</f>
        <v>0.93652447089947088</v>
      </c>
      <c r="L24" s="158">
        <f>IF($B24=" ","",IFERROR(VLOOKUP($B24,MMWR_ACCURACY_RO[],MATCH(L$9,MMWR_ACCURACY_RO[#Headers],0),0),"ERROR"))</f>
        <v>0.89573728179059775</v>
      </c>
      <c r="M24" s="158">
        <f>IF($B24=" ","",IFERROR(VLOOKUP($B24,MMWR_ACCURACY_RO[],MATCH(M$9,MMWR_ACCURACY_RO[#Headers],0),0),"ERROR"))</f>
        <v>4.1087996608787376E-2</v>
      </c>
      <c r="N24" s="158">
        <f>IF($B24=" ","",IFERROR(VLOOKUP($B24,MMWR_ACCURACY_RO[],MATCH(N$9,MMWR_ACCURACY_RO[#Headers],0),0),"ERROR"))</f>
        <v>0.87758619381468317</v>
      </c>
      <c r="O24" s="158">
        <f>IF($B24=" ","",IFERROR(VLOOKUP($B24,MMWR_ACCURACY_RO[],MATCH(O$9,MMWR_ACCURACY_RO[#Headers],0),0),"ERROR"))</f>
        <v>4.8405400501336189E-2</v>
      </c>
      <c r="P24" s="28"/>
    </row>
    <row r="25" spans="1:16" x14ac:dyDescent="0.2">
      <c r="A25" s="25"/>
      <c r="B25" s="8" t="str">
        <f>VLOOKUP($B$16,DISTRICT_RO[],10,0)</f>
        <v>Philadelphia VSC</v>
      </c>
      <c r="C25" s="154">
        <f>IF($B25=" ","",IFERROR(INDEX(MMWR_RATING_RO_ROLLUP[],MATCH($B25,MMWR_RATING_RO_ROLLUP[MMWR_RATING_RO_ROLLUP],0),MATCH(C$9,MMWR_RATING_RO_ROLLUP[#Headers],0)),"ERROR"))</f>
        <v>7729</v>
      </c>
      <c r="D25" s="155">
        <f>IF($B25=" ","",IFERROR(INDEX(MMWR_RATING_RO_ROLLUP[],MATCH($B25,MMWR_RATING_RO_ROLLUP[MMWR_RATING_RO_ROLLUP],0),MATCH(D$9,MMWR_RATING_RO_ROLLUP[#Headers],0)),"ERROR"))</f>
        <v>109.4318799327</v>
      </c>
      <c r="E25" s="156">
        <f>IF($B25=" ","",IFERROR(INDEX(MMWR_RATING_RO_ROLLUP[],MATCH($B25,MMWR_RATING_RO_ROLLUP[MMWR_RATING_RO_ROLLUP],0),MATCH(E$9,MMWR_RATING_RO_ROLLUP[#Headers],0))/$C25,"ERROR"))</f>
        <v>0.28257213093543798</v>
      </c>
      <c r="F25" s="154">
        <f>IF($B25=" ","",IFERROR(INDEX(MMWR_RATING_RO_ROLLUP[],MATCH($B25,MMWR_RATING_RO_ROLLUP[MMWR_RATING_RO_ROLLUP],0),MATCH(F$9,MMWR_RATING_RO_ROLLUP[#Headers],0)),"ERROR"))</f>
        <v>1494</v>
      </c>
      <c r="G25" s="154">
        <f>IF($B25=" ","",IFERROR(INDEX(MMWR_RATING_RO_ROLLUP[],MATCH($B25,MMWR_RATING_RO_ROLLUP[MMWR_RATING_RO_ROLLUP],0),MATCH(G$9,MMWR_RATING_RO_ROLLUP[#Headers],0)),"ERROR"))</f>
        <v>5651</v>
      </c>
      <c r="H25" s="155">
        <f>IF($B25=" ","",IFERROR(INDEX(MMWR_RATING_RO_ROLLUP[],MATCH($B25,MMWR_RATING_RO_ROLLUP[MMWR_RATING_RO_ROLLUP],0),MATCH(H$9,MMWR_RATING_RO_ROLLUP[#Headers],0)),"ERROR"))</f>
        <v>151.15528781789999</v>
      </c>
      <c r="I25" s="155">
        <f>IF($B25=" ","",IFERROR(INDEX(MMWR_RATING_RO_ROLLUP[],MATCH($B25,MMWR_RATING_RO_ROLLUP[MMWR_RATING_RO_ROLLUP],0),MATCH(I$9,MMWR_RATING_RO_ROLLUP[#Headers],0)),"ERROR"))</f>
        <v>156.86055565390001</v>
      </c>
      <c r="J25" s="158">
        <f>IF($B25=" ","",IFERROR(VLOOKUP($B25,MMWR_ACCURACY_RO[],MATCH(J$9,MMWR_ACCURACY_RO[#Headers],0),0),"ERROR"))</f>
        <v>0.93158721710409353</v>
      </c>
      <c r="K25" s="158">
        <f>IF($B25=" ","",IFERROR(VLOOKUP($B25,MMWR_ACCURACY_RO[],MATCH(K$9,MMWR_ACCURACY_RO[#Headers],0),0),"ERROR"))</f>
        <v>0.85729969251431404</v>
      </c>
      <c r="L25" s="158">
        <f>IF($B25=" ","",IFERROR(VLOOKUP($B25,MMWR_ACCURACY_RO[],MATCH(L$9,MMWR_ACCURACY_RO[#Headers],0),0),"ERROR"))</f>
        <v>0.85304537237291767</v>
      </c>
      <c r="M25" s="158">
        <f>IF($B25=" ","",IFERROR(VLOOKUP($B25,MMWR_ACCURACY_RO[],MATCH(M$9,MMWR_ACCURACY_RO[#Headers],0),0),"ERROR"))</f>
        <v>5.1664924235531796E-2</v>
      </c>
      <c r="N25" s="158">
        <f>IF($B25=" ","",IFERROR(VLOOKUP($B25,MMWR_ACCURACY_RO[],MATCH(N$9,MMWR_ACCURACY_RO[#Headers],0),0),"ERROR"))</f>
        <v>0.89614431336532274</v>
      </c>
      <c r="O25" s="158">
        <f>IF($B25=" ","",IFERROR(VLOOKUP($B25,MMWR_ACCURACY_RO[],MATCH(O$9,MMWR_ACCURACY_RO[#Headers],0),0),"ERROR"))</f>
        <v>5.0575399016445033E-2</v>
      </c>
      <c r="P25" s="28"/>
    </row>
    <row r="26" spans="1:16" x14ac:dyDescent="0.2">
      <c r="A26" s="25"/>
      <c r="B26" s="8" t="str">
        <f>VLOOKUP($B$16,DISTRICT_RO[],11,0)</f>
        <v>Pittsburgh VSC</v>
      </c>
      <c r="C26" s="154">
        <f>IF($B26=" ","",IFERROR(INDEX(MMWR_RATING_RO_ROLLUP[],MATCH($B26,MMWR_RATING_RO_ROLLUP[MMWR_RATING_RO_ROLLUP],0),MATCH(C$9,MMWR_RATING_RO_ROLLUP[#Headers],0)),"ERROR"))</f>
        <v>4075</v>
      </c>
      <c r="D26" s="155">
        <f>IF($B26=" ","",IFERROR(INDEX(MMWR_RATING_RO_ROLLUP[],MATCH($B26,MMWR_RATING_RO_ROLLUP[MMWR_RATING_RO_ROLLUP],0),MATCH(D$9,MMWR_RATING_RO_ROLLUP[#Headers],0)),"ERROR"))</f>
        <v>121.2957055215</v>
      </c>
      <c r="E26" s="156">
        <f>IF($B26=" ","",IFERROR(INDEX(MMWR_RATING_RO_ROLLUP[],MATCH($B26,MMWR_RATING_RO_ROLLUP[MMWR_RATING_RO_ROLLUP],0),MATCH(E$9,MMWR_RATING_RO_ROLLUP[#Headers],0))/$C26,"ERROR"))</f>
        <v>0.32662576687116562</v>
      </c>
      <c r="F26" s="154">
        <f>IF($B26=" ","",IFERROR(INDEX(MMWR_RATING_RO_ROLLUP[],MATCH($B26,MMWR_RATING_RO_ROLLUP[MMWR_RATING_RO_ROLLUP],0),MATCH(F$9,MMWR_RATING_RO_ROLLUP[#Headers],0)),"ERROR"))</f>
        <v>585</v>
      </c>
      <c r="G26" s="154">
        <f>IF($B26=" ","",IFERROR(INDEX(MMWR_RATING_RO_ROLLUP[],MATCH($B26,MMWR_RATING_RO_ROLLUP[MMWR_RATING_RO_ROLLUP],0),MATCH(G$9,MMWR_RATING_RO_ROLLUP[#Headers],0)),"ERROR"))</f>
        <v>2394</v>
      </c>
      <c r="H26" s="155">
        <f>IF($B26=" ","",IFERROR(INDEX(MMWR_RATING_RO_ROLLUP[],MATCH($B26,MMWR_RATING_RO_ROLLUP[MMWR_RATING_RO_ROLLUP],0),MATCH(H$9,MMWR_RATING_RO_ROLLUP[#Headers],0)),"ERROR"))</f>
        <v>177.8905982906</v>
      </c>
      <c r="I26" s="155">
        <f>IF($B26=" ","",IFERROR(INDEX(MMWR_RATING_RO_ROLLUP[],MATCH($B26,MMWR_RATING_RO_ROLLUP[MMWR_RATING_RO_ROLLUP],0),MATCH(I$9,MMWR_RATING_RO_ROLLUP[#Headers],0)),"ERROR"))</f>
        <v>182.1040100251</v>
      </c>
      <c r="J26" s="158">
        <f>IF($B26=" ","",IFERROR(VLOOKUP($B26,MMWR_ACCURACY_RO[],MATCH(J$9,MMWR_ACCURACY_RO[#Headers],0),0),"ERROR"))</f>
        <v>0.93728469047914409</v>
      </c>
      <c r="K26" s="158">
        <f>IF($B26=" ","",IFERROR(VLOOKUP($B26,MMWR_ACCURACY_RO[],MATCH(K$9,MMWR_ACCURACY_RO[#Headers],0),0),"ERROR"))</f>
        <v>0.91372282608695632</v>
      </c>
      <c r="L26" s="158">
        <f>IF($B26=" ","",IFERROR(VLOOKUP($B26,MMWR_ACCURACY_RO[],MATCH(L$9,MMWR_ACCURACY_RO[#Headers],0),0),"ERROR"))</f>
        <v>0.90225378361763986</v>
      </c>
      <c r="M26" s="158">
        <f>IF($B26=" ","",IFERROR(VLOOKUP($B26,MMWR_ACCURACY_RO[],MATCH(M$9,MMWR_ACCURACY_RO[#Headers],0),0),"ERROR"))</f>
        <v>4.6078091657013973E-2</v>
      </c>
      <c r="N26" s="158">
        <f>IF($B26=" ","",IFERROR(VLOOKUP($B26,MMWR_ACCURACY_RO[],MATCH(N$9,MMWR_ACCURACY_RO[#Headers],0),0),"ERROR"))</f>
        <v>0.90688082335323483</v>
      </c>
      <c r="O26" s="158">
        <f>IF($B26=" ","",IFERROR(VLOOKUP($B26,MMWR_ACCURACY_RO[],MATCH(O$9,MMWR_ACCURACY_RO[#Headers],0),0),"ERROR"))</f>
        <v>5.8149289913883774E-2</v>
      </c>
      <c r="P26" s="28"/>
    </row>
    <row r="27" spans="1:16" x14ac:dyDescent="0.2">
      <c r="A27" s="25"/>
      <c r="B27" s="8" t="str">
        <f>VLOOKUP($B$16,DISTRICT_RO[],12,0)</f>
        <v>Providence VSC</v>
      </c>
      <c r="C27" s="154">
        <f>IF($B27=" ","",IFERROR(INDEX(MMWR_RATING_RO_ROLLUP[],MATCH($B27,MMWR_RATING_RO_ROLLUP[MMWR_RATING_RO_ROLLUP],0),MATCH(C$9,MMWR_RATING_RO_ROLLUP[#Headers],0)),"ERROR"))</f>
        <v>3704</v>
      </c>
      <c r="D27" s="155">
        <f>IF($B27=" ","",IFERROR(INDEX(MMWR_RATING_RO_ROLLUP[],MATCH($B27,MMWR_RATING_RO_ROLLUP[MMWR_RATING_RO_ROLLUP],0),MATCH(D$9,MMWR_RATING_RO_ROLLUP[#Headers],0)),"ERROR"))</f>
        <v>97.475431965400006</v>
      </c>
      <c r="E27" s="156">
        <f>IF($B27=" ","",IFERROR(INDEX(MMWR_RATING_RO_ROLLUP[],MATCH($B27,MMWR_RATING_RO_ROLLUP[MMWR_RATING_RO_ROLLUP],0),MATCH(E$9,MMWR_RATING_RO_ROLLUP[#Headers],0))/$C27,"ERROR"))</f>
        <v>0.26862850971922247</v>
      </c>
      <c r="F27" s="154">
        <f>IF($B27=" ","",IFERROR(INDEX(MMWR_RATING_RO_ROLLUP[],MATCH($B27,MMWR_RATING_RO_ROLLUP[MMWR_RATING_RO_ROLLUP],0),MATCH(F$9,MMWR_RATING_RO_ROLLUP[#Headers],0)),"ERROR"))</f>
        <v>1423</v>
      </c>
      <c r="G27" s="154">
        <f>IF($B27=" ","",IFERROR(INDEX(MMWR_RATING_RO_ROLLUP[],MATCH($B27,MMWR_RATING_RO_ROLLUP[MMWR_RATING_RO_ROLLUP],0),MATCH(G$9,MMWR_RATING_RO_ROLLUP[#Headers],0)),"ERROR"))</f>
        <v>5376</v>
      </c>
      <c r="H27" s="155">
        <f>IF($B27=" ","",IFERROR(INDEX(MMWR_RATING_RO_ROLLUP[],MATCH($B27,MMWR_RATING_RO_ROLLUP[MMWR_RATING_RO_ROLLUP],0),MATCH(H$9,MMWR_RATING_RO_ROLLUP[#Headers],0)),"ERROR"))</f>
        <v>82.211524947300006</v>
      </c>
      <c r="I27" s="155">
        <f>IF($B27=" ","",IFERROR(INDEX(MMWR_RATING_RO_ROLLUP[],MATCH($B27,MMWR_RATING_RO_ROLLUP[MMWR_RATING_RO_ROLLUP],0),MATCH(I$9,MMWR_RATING_RO_ROLLUP[#Headers],0)),"ERROR"))</f>
        <v>80.153645833300004</v>
      </c>
      <c r="J27" s="158">
        <f>IF($B27=" ","",IFERROR(VLOOKUP($B27,MMWR_ACCURACY_RO[],MATCH(J$9,MMWR_ACCURACY_RO[#Headers],0),0),"ERROR"))</f>
        <v>0.97911338991892494</v>
      </c>
      <c r="K27" s="158">
        <f>IF($B27=" ","",IFERROR(VLOOKUP($B27,MMWR_ACCURACY_RO[],MATCH(K$9,MMWR_ACCURACY_RO[#Headers],0),0),"ERROR"))</f>
        <v>0.89053124542660622</v>
      </c>
      <c r="L27" s="158">
        <f>IF($B27=" ","",IFERROR(VLOOKUP($B27,MMWR_ACCURACY_RO[],MATCH(L$9,MMWR_ACCURACY_RO[#Headers],0),0),"ERROR"))</f>
        <v>0.86018663386136851</v>
      </c>
      <c r="M27" s="158">
        <f>IF($B27=" ","",IFERROR(VLOOKUP($B27,MMWR_ACCURACY_RO[],MATCH(M$9,MMWR_ACCURACY_RO[#Headers],0),0),"ERROR"))</f>
        <v>6.1464620544372295E-2</v>
      </c>
      <c r="N27" s="158">
        <f>IF($B27=" ","",IFERROR(VLOOKUP($B27,MMWR_ACCURACY_RO[],MATCH(N$9,MMWR_ACCURACY_RO[#Headers],0),0),"ERROR"))</f>
        <v>0.96005313597115471</v>
      </c>
      <c r="O27" s="158">
        <f>IF($B27=" ","",IFERROR(VLOOKUP($B27,MMWR_ACCURACY_RO[],MATCH(O$9,MMWR_ACCURACY_RO[#Headers],0),0),"ERROR"))</f>
        <v>3.2610188355958414E-2</v>
      </c>
      <c r="P27" s="28"/>
    </row>
    <row r="28" spans="1:16" x14ac:dyDescent="0.2">
      <c r="A28" s="25"/>
      <c r="B28" s="8" t="str">
        <f>VLOOKUP($B$16,DISTRICT_RO[],13,0)</f>
        <v>Roanoke VSC</v>
      </c>
      <c r="C28" s="154">
        <f>IF($B28=" ","",IFERROR(INDEX(MMWR_RATING_RO_ROLLUP[],MATCH($B28,MMWR_RATING_RO_ROLLUP[MMWR_RATING_RO_ROLLUP],0),MATCH(C$9,MMWR_RATING_RO_ROLLUP[#Headers],0)),"ERROR"))</f>
        <v>11019</v>
      </c>
      <c r="D28" s="155">
        <f>IF($B28=" ","",IFERROR(INDEX(MMWR_RATING_RO_ROLLUP[],MATCH($B28,MMWR_RATING_RO_ROLLUP[MMWR_RATING_RO_ROLLUP],0),MATCH(D$9,MMWR_RATING_RO_ROLLUP[#Headers],0)),"ERROR"))</f>
        <v>85.189400127100001</v>
      </c>
      <c r="E28" s="156">
        <f>IF($B28=" ","",IFERROR(INDEX(MMWR_RATING_RO_ROLLUP[],MATCH($B28,MMWR_RATING_RO_ROLLUP[MMWR_RATING_RO_ROLLUP],0),MATCH(E$9,MMWR_RATING_RO_ROLLUP[#Headers],0))/$C28,"ERROR"))</f>
        <v>0.17070514565750067</v>
      </c>
      <c r="F28" s="154">
        <f>IF($B28=" ","",IFERROR(INDEX(MMWR_RATING_RO_ROLLUP[],MATCH($B28,MMWR_RATING_RO_ROLLUP[MMWR_RATING_RO_ROLLUP],0),MATCH(F$9,MMWR_RATING_RO_ROLLUP[#Headers],0)),"ERROR"))</f>
        <v>1587</v>
      </c>
      <c r="G28" s="154">
        <f>IF($B28=" ","",IFERROR(INDEX(MMWR_RATING_RO_ROLLUP[],MATCH($B28,MMWR_RATING_RO_ROLLUP[MMWR_RATING_RO_ROLLUP],0),MATCH(G$9,MMWR_RATING_RO_ROLLUP[#Headers],0)),"ERROR"))</f>
        <v>7054</v>
      </c>
      <c r="H28" s="155">
        <f>IF($B28=" ","",IFERROR(INDEX(MMWR_RATING_RO_ROLLUP[],MATCH($B28,MMWR_RATING_RO_ROLLUP[MMWR_RATING_RO_ROLLUP],0),MATCH(H$9,MMWR_RATING_RO_ROLLUP[#Headers],0)),"ERROR"))</f>
        <v>148.7385003151</v>
      </c>
      <c r="I28" s="155">
        <f>IF($B28=" ","",IFERROR(INDEX(MMWR_RATING_RO_ROLLUP[],MATCH($B28,MMWR_RATING_RO_ROLLUP[MMWR_RATING_RO_ROLLUP],0),MATCH(I$9,MMWR_RATING_RO_ROLLUP[#Headers],0)),"ERROR"))</f>
        <v>139.93294584629999</v>
      </c>
      <c r="J28" s="158">
        <f>IF($B28=" ","",IFERROR(VLOOKUP($B28,MMWR_ACCURACY_RO[],MATCH(J$9,MMWR_ACCURACY_RO[#Headers],0),0),"ERROR"))</f>
        <v>0.97291607013525128</v>
      </c>
      <c r="K28" s="158">
        <f>IF($B28=" ","",IFERROR(VLOOKUP($B28,MMWR_ACCURACY_RO[],MATCH(K$9,MMWR_ACCURACY_RO[#Headers],0),0),"ERROR"))</f>
        <v>0.88675258821043745</v>
      </c>
      <c r="L28" s="158">
        <f>IF($B28=" ","",IFERROR(VLOOKUP($B28,MMWR_ACCURACY_RO[],MATCH(L$9,MMWR_ACCURACY_RO[#Headers],0),0),"ERROR"))</f>
        <v>0.91133575615934925</v>
      </c>
      <c r="M28" s="158">
        <f>IF($B28=" ","",IFERROR(VLOOKUP($B28,MMWR_ACCURACY_RO[],MATCH(M$9,MMWR_ACCURACY_RO[#Headers],0),0),"ERROR"))</f>
        <v>4.6944990940559352E-2</v>
      </c>
      <c r="N28" s="158">
        <f>IF($B28=" ","",IFERROR(VLOOKUP($B28,MMWR_ACCURACY_RO[],MATCH(N$9,MMWR_ACCURACY_RO[#Headers],0),0),"ERROR"))</f>
        <v>0.90729634074541965</v>
      </c>
      <c r="O28" s="158">
        <f>IF($B28=" ","",IFERROR(VLOOKUP($B28,MMWR_ACCURACY_RO[],MATCH(O$9,MMWR_ACCURACY_RO[#Headers],0),0),"ERROR"))</f>
        <v>4.4813108918778252E-2</v>
      </c>
      <c r="P28" s="28"/>
    </row>
    <row r="29" spans="1:16" x14ac:dyDescent="0.2">
      <c r="A29" s="25"/>
      <c r="B29" s="8" t="str">
        <f>VLOOKUP($B$16,DISTRICT_RO[],14,0)</f>
        <v>Togus VSC</v>
      </c>
      <c r="C29" s="154">
        <f>IF($B29=" ","",IFERROR(INDEX(MMWR_RATING_RO_ROLLUP[],MATCH($B29,MMWR_RATING_RO_ROLLUP[MMWR_RATING_RO_ROLLUP],0),MATCH(C$9,MMWR_RATING_RO_ROLLUP[#Headers],0)),"ERROR"))</f>
        <v>5871</v>
      </c>
      <c r="D29" s="155">
        <f>IF($B29=" ","",IFERROR(INDEX(MMWR_RATING_RO_ROLLUP[],MATCH($B29,MMWR_RATING_RO_ROLLUP[MMWR_RATING_RO_ROLLUP],0),MATCH(D$9,MMWR_RATING_RO_ROLLUP[#Headers],0)),"ERROR"))</f>
        <v>90.736331119100001</v>
      </c>
      <c r="E29" s="156">
        <f>IF($B29=" ","",IFERROR(INDEX(MMWR_RATING_RO_ROLLUP[],MATCH($B29,MMWR_RATING_RO_ROLLUP[MMWR_RATING_RO_ROLLUP],0),MATCH(E$9,MMWR_RATING_RO_ROLLUP[#Headers],0))/$C29,"ERROR"))</f>
        <v>0.18582864929313575</v>
      </c>
      <c r="F29" s="154">
        <f>IF($B29=" ","",IFERROR(INDEX(MMWR_RATING_RO_ROLLUP[],MATCH($B29,MMWR_RATING_RO_ROLLUP[MMWR_RATING_RO_ROLLUP],0),MATCH(F$9,MMWR_RATING_RO_ROLLUP[#Headers],0)),"ERROR"))</f>
        <v>952</v>
      </c>
      <c r="G29" s="154">
        <f>IF($B29=" ","",IFERROR(INDEX(MMWR_RATING_RO_ROLLUP[],MATCH($B29,MMWR_RATING_RO_ROLLUP[MMWR_RATING_RO_ROLLUP],0),MATCH(G$9,MMWR_RATING_RO_ROLLUP[#Headers],0)),"ERROR"))</f>
        <v>3995</v>
      </c>
      <c r="H29" s="155">
        <f>IF($B29=" ","",IFERROR(INDEX(MMWR_RATING_RO_ROLLUP[],MATCH($B29,MMWR_RATING_RO_ROLLUP[MMWR_RATING_RO_ROLLUP],0),MATCH(H$9,MMWR_RATING_RO_ROLLUP[#Headers],0)),"ERROR"))</f>
        <v>141.29096638659999</v>
      </c>
      <c r="I29" s="155">
        <f>IF($B29=" ","",IFERROR(INDEX(MMWR_RATING_RO_ROLLUP[],MATCH($B29,MMWR_RATING_RO_ROLLUP[MMWR_RATING_RO_ROLLUP],0),MATCH(I$9,MMWR_RATING_RO_ROLLUP[#Headers],0)),"ERROR"))</f>
        <v>132.409261577</v>
      </c>
      <c r="J29" s="158">
        <f>IF($B29=" ","",IFERROR(VLOOKUP($B29,MMWR_ACCURACY_RO[],MATCH(J$9,MMWR_ACCURACY_RO[#Headers],0),0),"ERROR"))</f>
        <v>0.95440717080048665</v>
      </c>
      <c r="K29" s="158">
        <f>IF($B29=" ","",IFERROR(VLOOKUP($B29,MMWR_ACCURACY_RO[],MATCH(K$9,MMWR_ACCURACY_RO[#Headers],0),0),"ERROR"))</f>
        <v>0.85704514363885087</v>
      </c>
      <c r="L29" s="158">
        <f>IF($B29=" ","",IFERROR(VLOOKUP($B29,MMWR_ACCURACY_RO[],MATCH(L$9,MMWR_ACCURACY_RO[#Headers],0),0),"ERROR"))</f>
        <v>0.87950874020494285</v>
      </c>
      <c r="M29" s="158">
        <f>IF($B29=" ","",IFERROR(VLOOKUP($B29,MMWR_ACCURACY_RO[],MATCH(M$9,MMWR_ACCURACY_RO[#Headers],0),0),"ERROR"))</f>
        <v>5.7898165484844173E-2</v>
      </c>
      <c r="N29" s="158">
        <f>IF($B29=" ","",IFERROR(VLOOKUP($B29,MMWR_ACCURACY_RO[],MATCH(N$9,MMWR_ACCURACY_RO[#Headers],0),0),"ERROR"))</f>
        <v>0.96351773426110754</v>
      </c>
      <c r="O29" s="158">
        <f>IF($B29=" ","",IFERROR(VLOOKUP($B29,MMWR_ACCURACY_RO[],MATCH(O$9,MMWR_ACCURACY_RO[#Headers],0),0),"ERROR"))</f>
        <v>3.6233483577180439E-2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661</v>
      </c>
      <c r="D30" s="155">
        <f>IF($B30=" ","",IFERROR(INDEX(MMWR_RATING_RO_ROLLUP[],MATCH($B30,MMWR_RATING_RO_ROLLUP[MMWR_RATING_RO_ROLLUP],0),MATCH(D$9,MMWR_RATING_RO_ROLLUP[#Headers],0)),"ERROR"))</f>
        <v>116.13615733739999</v>
      </c>
      <c r="E30" s="156">
        <f>IF($B30=" ","",IFERROR(INDEX(MMWR_RATING_RO_ROLLUP[],MATCH($B30,MMWR_RATING_RO_ROLLUP[MMWR_RATING_RO_ROLLUP],0),MATCH(E$9,MMWR_RATING_RO_ROLLUP[#Headers],0))/$C30,"ERROR"))</f>
        <v>0.36308623298033282</v>
      </c>
      <c r="F30" s="154">
        <f>IF($B30=" ","",IFERROR(INDEX(MMWR_RATING_RO_ROLLUP[],MATCH($B30,MMWR_RATING_RO_ROLLUP[MMWR_RATING_RO_ROLLUP],0),MATCH(F$9,MMWR_RATING_RO_ROLLUP[#Headers],0)),"ERROR"))</f>
        <v>101</v>
      </c>
      <c r="G30" s="154">
        <f>IF($B30=" ","",IFERROR(INDEX(MMWR_RATING_RO_ROLLUP[],MATCH($B30,MMWR_RATING_RO_ROLLUP[MMWR_RATING_RO_ROLLUP],0),MATCH(G$9,MMWR_RATING_RO_ROLLUP[#Headers],0)),"ERROR"))</f>
        <v>374</v>
      </c>
      <c r="H30" s="155">
        <f>IF($B30=" ","",IFERROR(INDEX(MMWR_RATING_RO_ROLLUP[],MATCH($B30,MMWR_RATING_RO_ROLLUP[MMWR_RATING_RO_ROLLUP],0),MATCH(H$9,MMWR_RATING_RO_ROLLUP[#Headers],0)),"ERROR"))</f>
        <v>177.46534653469999</v>
      </c>
      <c r="I30" s="155">
        <f>IF($B30=" ","",IFERROR(INDEX(MMWR_RATING_RO_ROLLUP[],MATCH($B30,MMWR_RATING_RO_ROLLUP[MMWR_RATING_RO_ROLLUP],0),MATCH(I$9,MMWR_RATING_RO_ROLLUP[#Headers],0)),"ERROR"))</f>
        <v>169.98395721930001</v>
      </c>
      <c r="J30" s="158">
        <f>IF($B30=" ","",IFERROR(VLOOKUP($B30,MMWR_ACCURACY_RO[],MATCH(J$9,MMWR_ACCURACY_RO[#Headers],0),0),"ERROR"))</f>
        <v>0.91214507250191712</v>
      </c>
      <c r="K30" s="158">
        <f>IF($B30=" ","",IFERROR(VLOOKUP($B30,MMWR_ACCURACY_RO[],MATCH(K$9,MMWR_ACCURACY_RO[#Headers],0),0),"ERROR"))</f>
        <v>0.90478101352900708</v>
      </c>
      <c r="L30" s="158">
        <f>IF($B30=" ","",IFERROR(VLOOKUP($B30,MMWR_ACCURACY_RO[],MATCH(L$9,MMWR_ACCURACY_RO[#Headers],0),0),"ERROR"))</f>
        <v>0.83858473647846088</v>
      </c>
      <c r="M30" s="158">
        <f>IF($B30=" ","",IFERROR(VLOOKUP($B30,MMWR_ACCURACY_RO[],MATCH(M$9,MMWR_ACCURACY_RO[#Headers],0),0),"ERROR"))</f>
        <v>5.2137911435447111E-2</v>
      </c>
      <c r="N30" s="158">
        <f>IF($B30=" ","",IFERROR(VLOOKUP($B30,MMWR_ACCURACY_RO[],MATCH(N$9,MMWR_ACCURACY_RO[#Headers],0),0),"ERROR"))</f>
        <v>0.91495057932046953</v>
      </c>
      <c r="O30" s="158">
        <f>IF($B30=" ","",IFERROR(VLOOKUP($B30,MMWR_ACCURACY_RO[],MATCH(O$9,MMWR_ACCURACY_RO[#Headers],0),0),"ERROR"))</f>
        <v>3.50815182990592E-2</v>
      </c>
      <c r="P30" s="28"/>
    </row>
    <row r="31" spans="1:16" x14ac:dyDescent="0.2">
      <c r="A31" s="25"/>
      <c r="B31" s="8" t="str">
        <f>VLOOKUP($B$16,DISTRICT_RO[],16,0)</f>
        <v>Wilmington VSC</v>
      </c>
      <c r="C31" s="154">
        <f>IF($B31=" ","",IFERROR(INDEX(MMWR_RATING_RO_ROLLUP[],MATCH($B31,MMWR_RATING_RO_ROLLUP[MMWR_RATING_RO_ROLLUP],0),MATCH(C$9,MMWR_RATING_RO_ROLLUP[#Headers],0)),"ERROR"))</f>
        <v>469</v>
      </c>
      <c r="D31" s="155">
        <f>IF($B31=" ","",IFERROR(INDEX(MMWR_RATING_RO_ROLLUP[],MATCH($B31,MMWR_RATING_RO_ROLLUP[MMWR_RATING_RO_ROLLUP],0),MATCH(D$9,MMWR_RATING_RO_ROLLUP[#Headers],0)),"ERROR"))</f>
        <v>77.884861407200006</v>
      </c>
      <c r="E31" s="156">
        <f>IF($B31=" ","",IFERROR(INDEX(MMWR_RATING_RO_ROLLUP[],MATCH($B31,MMWR_RATING_RO_ROLLUP[MMWR_RATING_RO_ROLLUP],0),MATCH(E$9,MMWR_RATING_RO_ROLLUP[#Headers],0))/$C31,"ERROR"))</f>
        <v>0.21748400852878466</v>
      </c>
      <c r="F31" s="154">
        <f>IF($B31=" ","",IFERROR(INDEX(MMWR_RATING_RO_ROLLUP[],MATCH($B31,MMWR_RATING_RO_ROLLUP[MMWR_RATING_RO_ROLLUP],0),MATCH(F$9,MMWR_RATING_RO_ROLLUP[#Headers],0)),"ERROR"))</f>
        <v>52</v>
      </c>
      <c r="G31" s="154">
        <f>IF($B31=" ","",IFERROR(INDEX(MMWR_RATING_RO_ROLLUP[],MATCH($B31,MMWR_RATING_RO_ROLLUP[MMWR_RATING_RO_ROLLUP],0),MATCH(G$9,MMWR_RATING_RO_ROLLUP[#Headers],0)),"ERROR"))</f>
        <v>258</v>
      </c>
      <c r="H31" s="155">
        <f>IF($B31=" ","",IFERROR(INDEX(MMWR_RATING_RO_ROLLUP[],MATCH($B31,MMWR_RATING_RO_ROLLUP[MMWR_RATING_RO_ROLLUP],0),MATCH(H$9,MMWR_RATING_RO_ROLLUP[#Headers],0)),"ERROR"))</f>
        <v>114</v>
      </c>
      <c r="I31" s="155">
        <f>IF($B31=" ","",IFERROR(INDEX(MMWR_RATING_RO_ROLLUP[],MATCH($B31,MMWR_RATING_RO_ROLLUP[MMWR_RATING_RO_ROLLUP],0),MATCH(I$9,MMWR_RATING_RO_ROLLUP[#Headers],0)),"ERROR"))</f>
        <v>113.11240310079999</v>
      </c>
      <c r="J31" s="158">
        <f>IF($B31=" ","",IFERROR(VLOOKUP($B31,MMWR_ACCURACY_RO[],MATCH(J$9,MMWR_ACCURACY_RO[#Headers],0),0),"ERROR"))</f>
        <v>0.94521731616693994</v>
      </c>
      <c r="K31" s="158">
        <f>IF($B31=" ","",IFERROR(VLOOKUP($B31,MMWR_ACCURACY_RO[],MATCH(K$9,MMWR_ACCURACY_RO[#Headers],0),0),"ERROR"))</f>
        <v>0.7981404240528327</v>
      </c>
      <c r="L31" s="158">
        <f>IF($B31=" ","",IFERROR(VLOOKUP($B31,MMWR_ACCURACY_RO[],MATCH(L$9,MMWR_ACCURACY_RO[#Headers],0),0),"ERROR"))</f>
        <v>0.8499168612467275</v>
      </c>
      <c r="M31" s="158">
        <f>IF($B31=" ","",IFERROR(VLOOKUP($B31,MMWR_ACCURACY_RO[],MATCH(M$9,MMWR_ACCURACY_RO[#Headers],0),0),"ERROR"))</f>
        <v>4.749099326376488E-2</v>
      </c>
      <c r="N31" s="158">
        <f>IF($B31=" ","",IFERROR(VLOOKUP($B31,MMWR_ACCURACY_RO[],MATCH(N$9,MMWR_ACCURACY_RO[#Headers],0),0),"ERROR"))</f>
        <v>0.87817539224273178</v>
      </c>
      <c r="O31" s="158">
        <f>IF($B31=" ","",IFERROR(VLOOKUP($B31,MMWR_ACCURACY_RO[],MATCH(O$9,MMWR_ACCURACY_RO[#Headers],0),0),"ERROR"))</f>
        <v>5.41667253402629E-2</v>
      </c>
      <c r="P31" s="28"/>
    </row>
    <row r="32" spans="1:16" x14ac:dyDescent="0.2">
      <c r="A32" s="25"/>
      <c r="B32" s="8" t="str">
        <f>VLOOKUP($B$16,DISTRICT_RO[],17,0)</f>
        <v>Winston-Salem VSC</v>
      </c>
      <c r="C32" s="154">
        <f>IF($B32=" ","",IFERROR(INDEX(MMWR_RATING_RO_ROLLUP[],MATCH($B32,MMWR_RATING_RO_ROLLUP[MMWR_RATING_RO_ROLLUP],0),MATCH(C$9,MMWR_RATING_RO_ROLLUP[#Headers],0)),"ERROR"))</f>
        <v>10858</v>
      </c>
      <c r="D32" s="155">
        <f>IF($B32=" ","",IFERROR(INDEX(MMWR_RATING_RO_ROLLUP[],MATCH($B32,MMWR_RATING_RO_ROLLUP[MMWR_RATING_RO_ROLLUP],0),MATCH(D$9,MMWR_RATING_RO_ROLLUP[#Headers],0)),"ERROR"))</f>
        <v>84.693405783800003</v>
      </c>
      <c r="E32" s="156">
        <f>IF($B32=" ","",IFERROR(INDEX(MMWR_RATING_RO_ROLLUP[],MATCH($B32,MMWR_RATING_RO_ROLLUP[MMWR_RATING_RO_ROLLUP],0),MATCH(E$9,MMWR_RATING_RO_ROLLUP[#Headers],0))/$C32,"ERROR"))</f>
        <v>0.20464173881009393</v>
      </c>
      <c r="F32" s="154">
        <f>IF($B32=" ","",IFERROR(INDEX(MMWR_RATING_RO_ROLLUP[],MATCH($B32,MMWR_RATING_RO_ROLLUP[MMWR_RATING_RO_ROLLUP],0),MATCH(F$9,MMWR_RATING_RO_ROLLUP[#Headers],0)),"ERROR"))</f>
        <v>1916</v>
      </c>
      <c r="G32" s="154">
        <f>IF($B32=" ","",IFERROR(INDEX(MMWR_RATING_RO_ROLLUP[],MATCH($B32,MMWR_RATING_RO_ROLLUP[MMWR_RATING_RO_ROLLUP],0),MATCH(G$9,MMWR_RATING_RO_ROLLUP[#Headers],0)),"ERROR"))</f>
        <v>7397</v>
      </c>
      <c r="H32" s="155">
        <f>IF($B32=" ","",IFERROR(INDEX(MMWR_RATING_RO_ROLLUP[],MATCH($B32,MMWR_RATING_RO_ROLLUP[MMWR_RATING_RO_ROLLUP],0),MATCH(H$9,MMWR_RATING_RO_ROLLUP[#Headers],0)),"ERROR"))</f>
        <v>135.63830897700001</v>
      </c>
      <c r="I32" s="155">
        <f>IF($B32=" ","",IFERROR(INDEX(MMWR_RATING_RO_ROLLUP[],MATCH($B32,MMWR_RATING_RO_ROLLUP[MMWR_RATING_RO_ROLLUP],0),MATCH(I$9,MMWR_RATING_RO_ROLLUP[#Headers],0)),"ERROR"))</f>
        <v>142.6268757604</v>
      </c>
      <c r="J32" s="158">
        <f>IF($B32=" ","",IFERROR(VLOOKUP($B32,MMWR_ACCURACY_RO[],MATCH(J$9,MMWR_ACCURACY_RO[#Headers],0),0),"ERROR"))</f>
        <v>0.97529361743180709</v>
      </c>
      <c r="K32" s="158">
        <f>IF($B32=" ","",IFERROR(VLOOKUP($B32,MMWR_ACCURACY_RO[],MATCH(K$9,MMWR_ACCURACY_RO[#Headers],0),0),"ERROR"))</f>
        <v>0.93181782321941364</v>
      </c>
      <c r="L32" s="158">
        <f>IF($B32=" ","",IFERROR(VLOOKUP($B32,MMWR_ACCURACY_RO[],MATCH(L$9,MMWR_ACCURACY_RO[#Headers],0),0),"ERROR"))</f>
        <v>0.83822838995775883</v>
      </c>
      <c r="M32" s="158">
        <f>IF($B32=" ","",IFERROR(VLOOKUP($B32,MMWR_ACCURACY_RO[],MATCH(M$9,MMWR_ACCURACY_RO[#Headers],0),0),"ERROR"))</f>
        <v>5.2545878659911976E-2</v>
      </c>
      <c r="N32" s="158">
        <f>IF($B32=" ","",IFERROR(VLOOKUP($B32,MMWR_ACCURACY_RO[],MATCH(N$9,MMWR_ACCURACY_RO[#Headers],0),0),"ERROR"))</f>
        <v>0.94594417650063789</v>
      </c>
      <c r="O32" s="158">
        <f>IF($B32=" ","",IFERROR(VLOOKUP($B32,MMWR_ACCURACY_RO[],MATCH(O$9,MMWR_ACCURACY_RO[#Headers],0),0),"ERROR"))</f>
        <v>3.6984565396134171E-2</v>
      </c>
      <c r="P32" s="28"/>
    </row>
    <row r="33" spans="1:16" x14ac:dyDescent="0.2">
      <c r="A33" s="25"/>
      <c r="B33" s="357" t="s">
        <v>733</v>
      </c>
      <c r="C33" s="358"/>
      <c r="D33" s="358"/>
      <c r="E33" s="358"/>
      <c r="F33" s="358"/>
      <c r="G33" s="358"/>
      <c r="H33" s="358"/>
      <c r="I33" s="358"/>
      <c r="J33" s="358"/>
      <c r="K33" s="358"/>
      <c r="L33" s="358"/>
      <c r="M33" s="358"/>
      <c r="N33" s="358"/>
      <c r="O33" s="358"/>
      <c r="P33" s="28"/>
    </row>
    <row r="34" spans="1:16" x14ac:dyDescent="0.2">
      <c r="A34" s="25"/>
      <c r="B34" s="11" t="s">
        <v>696</v>
      </c>
      <c r="C34" s="154">
        <f>IF($B34=" ","",IFERROR(INDEX(MMWR_RATING_RO_ROLLUP[],MATCH($B34,MMWR_RATING_RO_ROLLUP[MMWR_RATING_RO_ROLLUP],0),MATCH(C$9,MMWR_RATING_RO_ROLLUP[#Headers],0)),"ERROR"))</f>
        <v>26569</v>
      </c>
      <c r="D34" s="155">
        <f>IF($B34=" ","",IFERROR(INDEX(MMWR_RATING_RO_ROLLUP[],MATCH($B34,MMWR_RATING_RO_ROLLUP[MMWR_RATING_RO_ROLLUP],0),MATCH(D$9,MMWR_RATING_RO_ROLLUP[#Headers],0)),"ERROR"))</f>
        <v>63.969739169699999</v>
      </c>
      <c r="E34" s="156">
        <f>IF($B34=" ","",IFERROR(INDEX(MMWR_RATING_RO_ROLLUP[],MATCH($B34,MMWR_RATING_RO_ROLLUP[MMWR_RATING_RO_ROLLUP],0),MATCH(E$9,MMWR_RATING_RO_ROLLUP[#Headers],0))/$C34,"ERROR"))</f>
        <v>8.7056343859385002E-2</v>
      </c>
      <c r="F34" s="154">
        <f>IF($B34=" ","",IFERROR(INDEX(MMWR_RATING_RO_ROLLUP[],MATCH($B34,MMWR_RATING_RO_ROLLUP[MMWR_RATING_RO_ROLLUP],0),MATCH(F$9,MMWR_RATING_RO_ROLLUP[#Headers],0)),"ERROR"))</f>
        <v>8191</v>
      </c>
      <c r="G34" s="154">
        <f>IF($B34=" ","",IFERROR(INDEX(MMWR_RATING_RO_ROLLUP[],MATCH($B34,MMWR_RATING_RO_ROLLUP[MMWR_RATING_RO_ROLLUP],0),MATCH(G$9,MMWR_RATING_RO_ROLLUP[#Headers],0)),"ERROR"))</f>
        <v>31743</v>
      </c>
      <c r="H34" s="155">
        <f>IF($B34=" ","",IFERROR(INDEX(MMWR_RATING_RO_ROLLUP[],MATCH($B34,MMWR_RATING_RO_ROLLUP[MMWR_RATING_RO_ROLLUP],0),MATCH(H$9,MMWR_RATING_RO_ROLLUP[#Headers],0)),"ERROR"))</f>
        <v>75.407032108400003</v>
      </c>
      <c r="I34" s="155">
        <f>IF($B34=" ","",IFERROR(INDEX(MMWR_RATING_RO_ROLLUP[],MATCH($B34,MMWR_RATING_RO_ROLLUP[MMWR_RATING_RO_ROLLUP],0),MATCH(I$9,MMWR_RATING_RO_ROLLUP[#Headers],0)),"ERROR"))</f>
        <v>71.025611945899996</v>
      </c>
      <c r="J34" s="42"/>
      <c r="K34" s="263">
        <f>IF($B34=" ","",IFERROR(VLOOKUP($B34,MMWR_ACCURACY_RO[],MATCH(K$50,MMWR_ACCURACY_RO[#Headers],0),0),"ERROR"))</f>
        <v>0.96188671939819681</v>
      </c>
      <c r="L34" s="263">
        <f>IF($B34=" ","",IFERROR(VLOOKUP($B34,MMWR_ACCURACY_RO[],MATCH(L$50,MMWR_ACCURACY_RO[#Headers],0),0),"ERROR"))</f>
        <v>0.95934109688177616</v>
      </c>
      <c r="M34" s="263">
        <f>IF($B34=" ","",IFERROR(VLOOKUP($B34,MMWR_ACCURACY_RO[],MATCH(M$50,MMWR_ACCURACY_RO[#Headers],0),0),"ERROR"))</f>
        <v>1.7480490378684124E-2</v>
      </c>
      <c r="N34" s="263">
        <f>IF($B34=" ","",IFERROR(VLOOKUP($B34,MMWR_ACCURACY_RO[],MATCH(N$50,MMWR_ACCURACY_RO[#Headers],0),0),"ERROR"))</f>
        <v>0.96265060511142908</v>
      </c>
      <c r="O34" s="263">
        <f>IF($B34=" ","",IFERROR(VLOOKUP($B34,MMWR_ACCURACY_RO[],MATCH(O$50,MMWR_ACCURACY_RO[#Headers],0),0),"ERROR"))</f>
        <v>1.9031103282115536E-2</v>
      </c>
      <c r="P34" s="28"/>
    </row>
    <row r="35" spans="1:16" x14ac:dyDescent="0.2">
      <c r="A35" s="25"/>
      <c r="B35" s="12" t="s">
        <v>213</v>
      </c>
      <c r="C35" s="154">
        <f>IF($B35=" ","",IFERROR(INDEX(MMWR_RATING_RO_ROLLUP[],MATCH($B35,MMWR_RATING_RO_ROLLUP[MMWR_RATING_RO_ROLLUP],0),MATCH(C$9,MMWR_RATING_RO_ROLLUP[#Headers],0)),"ERROR"))</f>
        <v>11566</v>
      </c>
      <c r="D35" s="155">
        <f>IF($B35=" ","",IFERROR(INDEX(MMWR_RATING_RO_ROLLUP[],MATCH($B35,MMWR_RATING_RO_ROLLUP[MMWR_RATING_RO_ROLLUP],0),MATCH(D$9,MMWR_RATING_RO_ROLLUP[#Headers],0)),"ERROR"))</f>
        <v>63.138941725700001</v>
      </c>
      <c r="E35" s="156">
        <f>IF($B35=" ","",IFERROR(INDEX(MMWR_RATING_RO_ROLLUP[],MATCH($B35,MMWR_RATING_RO_ROLLUP[MMWR_RATING_RO_ROLLUP],0),MATCH(E$9,MMWR_RATING_RO_ROLLUP[#Headers],0))/$C35,"ERROR"))</f>
        <v>8.36935846446481E-2</v>
      </c>
      <c r="F35" s="154">
        <f>IF($B35=" ","",IFERROR(INDEX(MMWR_RATING_RO_ROLLUP[],MATCH($B35,MMWR_RATING_RO_ROLLUP[MMWR_RATING_RO_ROLLUP],0),MATCH(F$9,MMWR_RATING_RO_ROLLUP[#Headers],0)),"ERROR"))</f>
        <v>2711</v>
      </c>
      <c r="G35" s="154">
        <f>IF($B35=" ","",IFERROR(INDEX(MMWR_RATING_RO_ROLLUP[],MATCH($B35,MMWR_RATING_RO_ROLLUP[MMWR_RATING_RO_ROLLUP],0),MATCH(G$9,MMWR_RATING_RO_ROLLUP[#Headers],0)),"ERROR"))</f>
        <v>10029</v>
      </c>
      <c r="H35" s="155">
        <f>IF($B35=" ","",IFERROR(INDEX(MMWR_RATING_RO_ROLLUP[],MATCH($B35,MMWR_RATING_RO_ROLLUP[MMWR_RATING_RO_ROLLUP],0),MATCH(H$9,MMWR_RATING_RO_ROLLUP[#Headers],0)),"ERROR"))</f>
        <v>86.517521209899996</v>
      </c>
      <c r="I35" s="155">
        <f>IF($B35=" ","",IFERROR(INDEX(MMWR_RATING_RO_ROLLUP[],MATCH($B35,MMWR_RATING_RO_ROLLUP[MMWR_RATING_RO_ROLLUP],0),MATCH(I$9,MMWR_RATING_RO_ROLLUP[#Headers],0)),"ERROR"))</f>
        <v>83.277395552900003</v>
      </c>
      <c r="J35" s="42"/>
      <c r="K35" s="252">
        <f>IF($B35=" ","",IFERROR(VLOOKUP($B35,MMWR_ACCURACY_RO[],MATCH(K$50,MMWR_ACCURACY_RO[#Headers],0),0),"ERROR"))</f>
        <v>0.91336575930824593</v>
      </c>
      <c r="L35" s="252">
        <f>IF($B35=" ","",IFERROR(VLOOKUP($B35,MMWR_ACCURACY_RO[],MATCH(L$50,MMWR_ACCURACY_RO[#Headers],0),0),"ERROR"))</f>
        <v>0.93702961093243231</v>
      </c>
      <c r="M35" s="252">
        <f>IF($B35=" ","",IFERROR(VLOOKUP($B35,MMWR_ACCURACY_RO[],MATCH(M$50,MMWR_ACCURACY_RO[#Headers],0),0),"ERROR"))</f>
        <v>4.0278478343888792E-2</v>
      </c>
      <c r="N35" s="252">
        <f>IF($B35=" ","",IFERROR(VLOOKUP($B35,MMWR_ACCURACY_RO[],MATCH(N$50,MMWR_ACCURACY_RO[#Headers],0),0),"ERROR"))</f>
        <v>0.92517387991315747</v>
      </c>
      <c r="O35" s="252">
        <f>IF($B35=" ","",IFERROR(VLOOKUP($B35,MMWR_ACCURACY_RO[],MATCH(O$50,MMWR_ACCURACY_RO[#Headers],0),0),"ERROR"))</f>
        <v>4.8773435007311787E-2</v>
      </c>
      <c r="P35" s="28"/>
    </row>
    <row r="36" spans="1:16" x14ac:dyDescent="0.2">
      <c r="A36" s="43"/>
      <c r="B36" s="12" t="s">
        <v>212</v>
      </c>
      <c r="C36" s="154">
        <f>IF($B36=" ","",IFERROR(INDEX(MMWR_RATING_RO_ROLLUP[],MATCH($B36,MMWR_RATING_RO_ROLLUP[MMWR_RATING_RO_ROLLUP],0),MATCH(C$9,MMWR_RATING_RO_ROLLUP[#Headers],0)),"ERROR"))</f>
        <v>6890</v>
      </c>
      <c r="D36" s="155">
        <f>IF($B36=" ","",IFERROR(INDEX(MMWR_RATING_RO_ROLLUP[],MATCH($B36,MMWR_RATING_RO_ROLLUP[MMWR_RATING_RO_ROLLUP],0),MATCH(D$9,MMWR_RATING_RO_ROLLUP[#Headers],0)),"ERROR"))</f>
        <v>64.585341073999999</v>
      </c>
      <c r="E36" s="156">
        <f>IF($B36=" ","",IFERROR(INDEX(MMWR_RATING_RO_ROLLUP[],MATCH($B36,MMWR_RATING_RO_ROLLUP[MMWR_RATING_RO_ROLLUP],0),MATCH(E$9,MMWR_RATING_RO_ROLLUP[#Headers],0))/$C36,"ERROR"))</f>
        <v>8.577648766328011E-2</v>
      </c>
      <c r="F36" s="154">
        <f>IF($B36=" ","",IFERROR(INDEX(MMWR_RATING_RO_ROLLUP[],MATCH($B36,MMWR_RATING_RO_ROLLUP[MMWR_RATING_RO_ROLLUP],0),MATCH(F$9,MMWR_RATING_RO_ROLLUP[#Headers],0)),"ERROR"))</f>
        <v>2395</v>
      </c>
      <c r="G36" s="154">
        <f>IF($B36=" ","",IFERROR(INDEX(MMWR_RATING_RO_ROLLUP[],MATCH($B36,MMWR_RATING_RO_ROLLUP[MMWR_RATING_RO_ROLLUP],0),MATCH(G$9,MMWR_RATING_RO_ROLLUP[#Headers],0)),"ERROR"))</f>
        <v>8724</v>
      </c>
      <c r="H36" s="155">
        <f>IF($B36=" ","",IFERROR(INDEX(MMWR_RATING_RO_ROLLUP[],MATCH($B36,MMWR_RATING_RO_ROLLUP[MMWR_RATING_RO_ROLLUP],0),MATCH(H$9,MMWR_RATING_RO_ROLLUP[#Headers],0)),"ERROR"))</f>
        <v>74.124008350699995</v>
      </c>
      <c r="I36" s="155">
        <f>IF($B36=" ","",IFERROR(INDEX(MMWR_RATING_RO_ROLLUP[],MATCH($B36,MMWR_RATING_RO_ROLLUP[MMWR_RATING_RO_ROLLUP],0),MATCH(I$9,MMWR_RATING_RO_ROLLUP[#Headers],0)),"ERROR"))</f>
        <v>68.239683631399998</v>
      </c>
      <c r="J36" s="42"/>
      <c r="K36" s="252">
        <f>IF($B36=" ","",IFERROR(VLOOKUP($B36,MMWR_ACCURACY_RO[],MATCH(K$50,MMWR_ACCURACY_RO[#Headers],0),0),"ERROR"))</f>
        <v>0.96253269998623159</v>
      </c>
      <c r="L36" s="252">
        <f>IF($B36=" ","",IFERROR(VLOOKUP($B36,MMWR_ACCURACY_RO[],MATCH(L$50,MMWR_ACCURACY_RO[#Headers],0),0),"ERROR"))</f>
        <v>0.94221226803333591</v>
      </c>
      <c r="M36" s="252">
        <f>IF($B36=" ","",IFERROR(VLOOKUP($B36,MMWR_ACCURACY_RO[],MATCH(M$50,MMWR_ACCURACY_RO[#Headers],0),0),"ERROR"))</f>
        <v>3.6706185296664702E-2</v>
      </c>
      <c r="N36" s="252">
        <f>IF($B36=" ","",IFERROR(VLOOKUP($B36,MMWR_ACCURACY_RO[],MATCH(N$50,MMWR_ACCURACY_RO[#Headers],0),0),"ERROR"))</f>
        <v>0.97672108188542173</v>
      </c>
      <c r="O36" s="252">
        <f>IF($B36=" ","",IFERROR(VLOOKUP($B36,MMWR_ACCURACY_RO[],MATCH(O$50,MMWR_ACCURACY_RO[#Headers],0),0),"ERROR"))</f>
        <v>2.2376663278575463E-2</v>
      </c>
      <c r="P36" s="28"/>
    </row>
    <row r="37" spans="1:16" x14ac:dyDescent="0.2">
      <c r="A37" s="25"/>
      <c r="B37" s="12" t="s">
        <v>215</v>
      </c>
      <c r="C37" s="154">
        <f>IF($B37=" ","",IFERROR(INDEX(MMWR_RATING_RO_ROLLUP[],MATCH($B37,MMWR_RATING_RO_ROLLUP[MMWR_RATING_RO_ROLLUP],0),MATCH(C$9,MMWR_RATING_RO_ROLLUP[#Headers],0)),"ERROR"))</f>
        <v>7565</v>
      </c>
      <c r="D37" s="155">
        <f>IF($B37=" ","",IFERROR(INDEX(MMWR_RATING_RO_ROLLUP[],MATCH($B37,MMWR_RATING_RO_ROLLUP[MMWR_RATING_RO_ROLLUP],0),MATCH(D$9,MMWR_RATING_RO_ROLLUP[#Headers],0)),"ERROR"))</f>
        <v>55.955320555199997</v>
      </c>
      <c r="E37" s="156">
        <f>IF($B37=" ","",IFERROR(INDEX(MMWR_RATING_RO_ROLLUP[],MATCH($B37,MMWR_RATING_RO_ROLLUP[MMWR_RATING_RO_ROLLUP],0),MATCH(E$9,MMWR_RATING_RO_ROLLUP[#Headers],0))/$C37,"ERROR"))</f>
        <v>6.3185723727693321E-2</v>
      </c>
      <c r="F37" s="154">
        <f>IF($B37=" ","",IFERROR(INDEX(MMWR_RATING_RO_ROLLUP[],MATCH($B37,MMWR_RATING_RO_ROLLUP[MMWR_RATING_RO_ROLLUP],0),MATCH(F$9,MMWR_RATING_RO_ROLLUP[#Headers],0)),"ERROR"))</f>
        <v>2853</v>
      </c>
      <c r="G37" s="154">
        <f>IF($B37=" ","",IFERROR(INDEX(MMWR_RATING_RO_ROLLUP[],MATCH($B37,MMWR_RATING_RO_ROLLUP[MMWR_RATING_RO_ROLLUP],0),MATCH(G$9,MMWR_RATING_RO_ROLLUP[#Headers],0)),"ERROR"))</f>
        <v>12024</v>
      </c>
      <c r="H37" s="155">
        <f>IF($B37=" ","",IFERROR(INDEX(MMWR_RATING_RO_ROLLUP[],MATCH($B37,MMWR_RATING_RO_ROLLUP[MMWR_RATING_RO_ROLLUP],0),MATCH(H$9,MMWR_RATING_RO_ROLLUP[#Headers],0)),"ERROR"))</f>
        <v>68.172800560799999</v>
      </c>
      <c r="I37" s="155">
        <f>IF($B37=" ","",IFERROR(INDEX(MMWR_RATING_RO_ROLLUP[],MATCH($B37,MMWR_RATING_RO_ROLLUP[MMWR_RATING_RO_ROLLUP],0),MATCH(I$9,MMWR_RATING_RO_ROLLUP[#Headers],0)),"ERROR"))</f>
        <v>65.350881570200002</v>
      </c>
      <c r="J37" s="42"/>
      <c r="K37" s="252">
        <f>IF($B37=" ","",IFERROR(VLOOKUP($B37,MMWR_ACCURACY_RO[],MATCH(K$50,MMWR_ACCURACY_RO[#Headers],0),0),"ERROR"))</f>
        <v>1</v>
      </c>
      <c r="L37" s="252">
        <f>IF($B37=" ","",IFERROR(VLOOKUP($B37,MMWR_ACCURACY_RO[],MATCH(L$50,MMWR_ACCURACY_RO[#Headers],0),0),"ERROR"))</f>
        <v>0.99181176584824771</v>
      </c>
      <c r="M37" s="252">
        <f>IF($B37=" ","",IFERROR(VLOOKUP($B37,MMWR_ACCURACY_RO[],MATCH(M$50,MMWR_ACCURACY_RO[#Headers],0),0),"ERROR"))</f>
        <v>9.8227936471293725E-3</v>
      </c>
      <c r="N37" s="252">
        <f>IF($B37=" ","",IFERROR(VLOOKUP($B37,MMWR_ACCURACY_RO[],MATCH(N$50,MMWR_ACCURACY_RO[#Headers],0),0),"ERROR"))</f>
        <v>0.98593055566785526</v>
      </c>
      <c r="O37" s="252">
        <f>IF($B37=" ","",IFERROR(VLOOKUP($B37,MMWR_ACCURACY_RO[],MATCH(O$50,MMWR_ACCURACY_RO[#Headers],0),0),"ERROR"))</f>
        <v>1.7221858586439681E-2</v>
      </c>
      <c r="P37" s="28"/>
    </row>
    <row r="38" spans="1:16" x14ac:dyDescent="0.2">
      <c r="A38" s="25"/>
      <c r="B38" s="13" t="s">
        <v>227</v>
      </c>
      <c r="C38" s="154">
        <f>IF($B38=" ","",IFERROR(INDEX(MMWR_RATING_RO_ROLLUP[],MATCH($B38,MMWR_RATING_RO_ROLLUP[MMWR_RATING_RO_ROLLUP],0),MATCH(C$9,MMWR_RATING_RO_ROLLUP[#Headers],0)),"ERROR"))</f>
        <v>548</v>
      </c>
      <c r="D38" s="155">
        <f>IF($B38=" ","",IFERROR(INDEX(MMWR_RATING_RO_ROLLUP[],MATCH($B38,MMWR_RATING_RO_ROLLUP[MMWR_RATING_RO_ROLLUP],0),MATCH(D$9,MMWR_RATING_RO_ROLLUP[#Headers],0)),"ERROR"))</f>
        <v>184.401459854</v>
      </c>
      <c r="E38" s="156">
        <f>IF($B38=" ","",IFERROR(INDEX(MMWR_RATING_RO_ROLLUP[],MATCH($B38,MMWR_RATING_RO_ROLLUP[MMWR_RATING_RO_ROLLUP],0),MATCH(E$9,MMWR_RATING_RO_ROLLUP[#Headers],0))/$C38,"ERROR"))</f>
        <v>0.5036496350364964</v>
      </c>
      <c r="F38" s="154">
        <f>IF($B38=" ","",IFERROR(INDEX(MMWR_RATING_RO_ROLLUP[],MATCH($B38,MMWR_RATING_RO_ROLLUP[MMWR_RATING_RO_ROLLUP],0),MATCH(F$9,MMWR_RATING_RO_ROLLUP[#Headers],0)),"ERROR"))</f>
        <v>232</v>
      </c>
      <c r="G38" s="154">
        <f>IF($B38=" ","",IFERROR(INDEX(MMWR_RATING_RO_ROLLUP[],MATCH($B38,MMWR_RATING_RO_ROLLUP[MMWR_RATING_RO_ROLLUP],0),MATCH(G$9,MMWR_RATING_RO_ROLLUP[#Headers],0)),"ERROR"))</f>
        <v>966</v>
      </c>
      <c r="H38" s="155">
        <f>IF($B38=" ","",IFERROR(INDEX(MMWR_RATING_RO_ROLLUP[],MATCH($B38,MMWR_RATING_RO_ROLLUP[MMWR_RATING_RO_ROLLUP],0),MATCH(H$9,MMWR_RATING_RO_ROLLUP[#Headers],0)),"ERROR"))</f>
        <v>47.784482758599999</v>
      </c>
      <c r="I38" s="155">
        <f>IF($B38=" ","",IFERROR(INDEX(MMWR_RATING_RO_ROLLUP[],MATCH($B38,MMWR_RATING_RO_ROLLUP[MMWR_RATING_RO_ROLLUP],0),MATCH(I$9,MMWR_RATING_RO_ROLLUP[#Headers],0)),"ERROR"))</f>
        <v>39.622153209099999</v>
      </c>
      <c r="J38" s="42"/>
      <c r="K38" s="42"/>
      <c r="L38" s="42"/>
      <c r="M38" s="42"/>
      <c r="N38" s="42"/>
      <c r="O38" s="42"/>
      <c r="P38" s="28"/>
    </row>
    <row r="39" spans="1:16" x14ac:dyDescent="0.2">
      <c r="A39" s="25"/>
      <c r="B39" s="357" t="s">
        <v>916</v>
      </c>
      <c r="C39" s="358"/>
      <c r="D39" s="358"/>
      <c r="E39" s="358"/>
      <c r="F39" s="358"/>
      <c r="G39" s="358"/>
      <c r="H39" s="358"/>
      <c r="I39" s="358"/>
      <c r="J39" s="358"/>
      <c r="K39" s="358"/>
      <c r="L39" s="358"/>
      <c r="M39" s="358"/>
      <c r="N39" s="358"/>
      <c r="O39" s="358"/>
      <c r="P39" s="28"/>
    </row>
    <row r="40" spans="1:16" x14ac:dyDescent="0.2">
      <c r="A40" s="25"/>
      <c r="B40" s="44" t="s">
        <v>697</v>
      </c>
      <c r="C40" s="154">
        <f>IF($B40=" ","",IFERROR(INDEX(MMWR_RATING_RO_ROLLUP[],MATCH($B40,MMWR_RATING_RO_ROLLUP[MMWR_RATING_RO_ROLLUP],0),MATCH(C$9,MMWR_RATING_RO_ROLLUP[#Headers],0)),"ERROR"))</f>
        <v>10569</v>
      </c>
      <c r="D40" s="155">
        <f>IF($B40=" ","",IFERROR(INDEX(MMWR_RATING_RO_ROLLUP[],MATCH($B40,MMWR_RATING_RO_ROLLUP[MMWR_RATING_RO_ROLLUP],0),MATCH(D$9,MMWR_RATING_RO_ROLLUP[#Headers],0)),"ERROR"))</f>
        <v>81.9196707352</v>
      </c>
      <c r="E40" s="156">
        <f>IF($B40=" ","",IFERROR(INDEX(MMWR_RATING_RO_ROLLUP[],MATCH($B40,MMWR_RATING_RO_ROLLUP[MMWR_RATING_RO_ROLLUP],0),MATCH(E$9,MMWR_RATING_RO_ROLLUP[#Headers],0))/$C40,"ERROR"))</f>
        <v>0.1730532689942284</v>
      </c>
      <c r="F40" s="154">
        <f>IF($B40=" ","",IFERROR(INDEX(MMWR_RATING_RO_ROLLUP[],MATCH($B40,MMWR_RATING_RO_ROLLUP[MMWR_RATING_RO_ROLLUP],0),MATCH(F$9,MMWR_RATING_RO_ROLLUP[#Headers],0)),"ERROR"))</f>
        <v>1203</v>
      </c>
      <c r="G40" s="154">
        <f>IF($B40=" ","",IFERROR(INDEX(MMWR_RATING_RO_ROLLUP[],MATCH($B40,MMWR_RATING_RO_ROLLUP[MMWR_RATING_RO_ROLLUP],0),MATCH(G$9,MMWR_RATING_RO_ROLLUP[#Headers],0)),"ERROR"))</f>
        <v>4209</v>
      </c>
      <c r="H40" s="155">
        <f>IF($B40=" ","",IFERROR(INDEX(MMWR_RATING_RO_ROLLUP[],MATCH($B40,MMWR_RATING_RO_ROLLUP[MMWR_RATING_RO_ROLLUP],0),MATCH(H$9,MMWR_RATING_RO_ROLLUP[#Headers],0)),"ERROR"))</f>
        <v>145.33416458849999</v>
      </c>
      <c r="I40" s="155">
        <f>IF($B40=" ","",IFERROR(INDEX(MMWR_RATING_RO_ROLLUP[],MATCH($B40,MMWR_RATING_RO_ROLLUP[MMWR_RATING_RO_ROLLUP],0),MATCH(I$9,MMWR_RATING_RO_ROLLUP[#Headers],0)),"ERROR"))</f>
        <v>138.48372535039999</v>
      </c>
      <c r="J40" s="42"/>
      <c r="K40" s="42"/>
      <c r="L40" s="42"/>
      <c r="M40" s="42"/>
      <c r="N40" s="42"/>
      <c r="O40" s="42"/>
      <c r="P40" s="28"/>
    </row>
    <row r="41" spans="1:16" x14ac:dyDescent="0.2">
      <c r="A41" s="25"/>
      <c r="B41" s="45" t="s">
        <v>956</v>
      </c>
      <c r="C41" s="154">
        <f>IF($B41=" ","",IFERROR(INDEX(MMWR_RATING_RO_ROLLUP[],MATCH($B41,MMWR_RATING_RO_ROLLUP[MMWR_RATING_RO_ROLLUP],0),MATCH(C$9,MMWR_RATING_RO_ROLLUP[#Headers],0)),"ERROR"))</f>
        <v>4680</v>
      </c>
      <c r="D41" s="155">
        <f>IF($B41=" ","",IFERROR(INDEX(MMWR_RATING_RO_ROLLUP[],MATCH($B41,MMWR_RATING_RO_ROLLUP[MMWR_RATING_RO_ROLLUP],0),MATCH(D$9,MMWR_RATING_RO_ROLLUP[#Headers],0)),"ERROR"))</f>
        <v>75.892521367499995</v>
      </c>
      <c r="E41" s="156">
        <f>IF($B41=" ","",IFERROR(INDEX(MMWR_RATING_RO_ROLLUP[],MATCH($B41,MMWR_RATING_RO_ROLLUP[MMWR_RATING_RO_ROLLUP],0),MATCH(E$9,MMWR_RATING_RO_ROLLUP[#Headers],0))/$C41,"ERROR"))</f>
        <v>0.10064102564102564</v>
      </c>
      <c r="F41" s="154">
        <f>IF($B41=" ","",IFERROR(INDEX(MMWR_RATING_RO_ROLLUP[],MATCH($B41,MMWR_RATING_RO_ROLLUP[MMWR_RATING_RO_ROLLUP],0),MATCH(F$9,MMWR_RATING_RO_ROLLUP[#Headers],0)),"ERROR"))</f>
        <v>608</v>
      </c>
      <c r="G41" s="154">
        <f>IF($B41=" ","",IFERROR(INDEX(MMWR_RATING_RO_ROLLUP[],MATCH($B41,MMWR_RATING_RO_ROLLUP[MMWR_RATING_RO_ROLLUP],0),MATCH(G$9,MMWR_RATING_RO_ROLLUP[#Headers],0)),"ERROR"))</f>
        <v>2132</v>
      </c>
      <c r="H41" s="155">
        <f>IF($B41=" ","",IFERROR(INDEX(MMWR_RATING_RO_ROLLUP[],MATCH($B41,MMWR_RATING_RO_ROLLUP[MMWR_RATING_RO_ROLLUP],0),MATCH(H$9,MMWR_RATING_RO_ROLLUP[#Headers],0)),"ERROR"))</f>
        <v>133.96217105260001</v>
      </c>
      <c r="I41" s="155">
        <f>IF($B41=" ","",IFERROR(INDEX(MMWR_RATING_RO_ROLLUP[],MATCH($B41,MMWR_RATING_RO_ROLLUP[MMWR_RATING_RO_ROLLUP],0),MATCH(I$9,MMWR_RATING_RO_ROLLUP[#Headers],0)),"ERROR"))</f>
        <v>124.228424015</v>
      </c>
      <c r="J41" s="42"/>
      <c r="K41" s="42"/>
      <c r="L41" s="42"/>
      <c r="M41" s="42"/>
      <c r="N41" s="42"/>
      <c r="O41" s="42"/>
      <c r="P41" s="28"/>
    </row>
    <row r="42" spans="1:16" x14ac:dyDescent="0.2">
      <c r="A42" s="25"/>
      <c r="B42" s="45" t="s">
        <v>957</v>
      </c>
      <c r="C42" s="154">
        <f>IF($B42=" ","",IFERROR(INDEX(MMWR_RATING_RO_ROLLUP[],MATCH($B42,MMWR_RATING_RO_ROLLUP[MMWR_RATING_RO_ROLLUP],0),MATCH(C$9,MMWR_RATING_RO_ROLLUP[#Headers],0)),"ERROR"))</f>
        <v>5507</v>
      </c>
      <c r="D42" s="155">
        <f>IF($B42=" ","",IFERROR(INDEX(MMWR_RATING_RO_ROLLUP[],MATCH($B42,MMWR_RATING_RO_ROLLUP[MMWR_RATING_RO_ROLLUP],0),MATCH(D$9,MMWR_RATING_RO_ROLLUP[#Headers],0)),"ERROR"))</f>
        <v>88.892318866899998</v>
      </c>
      <c r="E42" s="156">
        <f>IF($B42=" ","",IFERROR(INDEX(MMWR_RATING_RO_ROLLUP[],MATCH($B42,MMWR_RATING_RO_ROLLUP[MMWR_RATING_RO_ROLLUP],0),MATCH(E$9,MMWR_RATING_RO_ROLLUP[#Headers],0))/$C42,"ERROR"))</f>
        <v>0.23824223715271473</v>
      </c>
      <c r="F42" s="154">
        <f>IF($B42=" ","",IFERROR(INDEX(MMWR_RATING_RO_ROLLUP[],MATCH($B42,MMWR_RATING_RO_ROLLUP[MMWR_RATING_RO_ROLLUP],0),MATCH(F$9,MMWR_RATING_RO_ROLLUP[#Headers],0)),"ERROR"))</f>
        <v>556</v>
      </c>
      <c r="G42" s="154">
        <f>IF($B42=" ","",IFERROR(INDEX(MMWR_RATING_RO_ROLLUP[],MATCH($B42,MMWR_RATING_RO_ROLLUP[MMWR_RATING_RO_ROLLUP],0),MATCH(G$9,MMWR_RATING_RO_ROLLUP[#Headers],0)),"ERROR"))</f>
        <v>1957</v>
      </c>
      <c r="H42" s="155">
        <f>IF($B42=" ","",IFERROR(INDEX(MMWR_RATING_RO_ROLLUP[],MATCH($B42,MMWR_RATING_RO_ROLLUP[MMWR_RATING_RO_ROLLUP],0),MATCH(H$9,MMWR_RATING_RO_ROLLUP[#Headers],0)),"ERROR"))</f>
        <v>158.50179856119999</v>
      </c>
      <c r="I42" s="155">
        <f>IF($B42=" ","",IFERROR(INDEX(MMWR_RATING_RO_ROLLUP[],MATCH($B42,MMWR_RATING_RO_ROLLUP[MMWR_RATING_RO_ROLLUP],0),MATCH(I$9,MMWR_RATING_RO_ROLLUP[#Headers],0)),"ERROR"))</f>
        <v>154.9601430761</v>
      </c>
      <c r="J42" s="42"/>
      <c r="K42" s="42"/>
      <c r="L42" s="42"/>
      <c r="M42" s="42"/>
      <c r="N42" s="42"/>
      <c r="O42" s="42"/>
      <c r="P42" s="28"/>
    </row>
    <row r="43" spans="1:16" x14ac:dyDescent="0.2">
      <c r="A43" s="25"/>
      <c r="B43" s="46" t="s">
        <v>306</v>
      </c>
      <c r="C43" s="154">
        <f>IF($B43=" ","",IFERROR(INDEX(MMWR_RATING_RO_ROLLUP[],MATCH($B43,MMWR_RATING_RO_ROLLUP[MMWR_RATING_RO_ROLLUP],0),MATCH(C$9,MMWR_RATING_RO_ROLLUP[#Headers],0)),"ERROR"))</f>
        <v>382</v>
      </c>
      <c r="D43" s="155">
        <f>IF($B43=" ","",IFERROR(INDEX(MMWR_RATING_RO_ROLLUP[],MATCH($B43,MMWR_RATING_RO_ROLLUP[MMWR_RATING_RO_ROLLUP],0),MATCH(D$9,MMWR_RATING_RO_ROLLUP[#Headers],0)),"ERROR"))</f>
        <v>55.240837696299998</v>
      </c>
      <c r="E43" s="156">
        <f>IF($B43=" ","",IFERROR(INDEX(MMWR_RATING_RO_ROLLUP[],MATCH($B43,MMWR_RATING_RO_ROLLUP[MMWR_RATING_RO_ROLLUP],0),MATCH(E$9,MMWR_RATING_RO_ROLLUP[#Headers],0))/$C43,"ERROR"))</f>
        <v>0.12041884816753927</v>
      </c>
      <c r="F43" s="154">
        <f>IF($B43=" ","",IFERROR(INDEX(MMWR_RATING_RO_ROLLUP[],MATCH($B43,MMWR_RATING_RO_ROLLUP[MMWR_RATING_RO_ROLLUP],0),MATCH(F$9,MMWR_RATING_RO_ROLLUP[#Headers],0)),"ERROR"))</f>
        <v>39</v>
      </c>
      <c r="G43" s="154">
        <f>IF($B43=" ","",IFERROR(INDEX(MMWR_RATING_RO_ROLLUP[],MATCH($B43,MMWR_RATING_RO_ROLLUP[MMWR_RATING_RO_ROLLUP],0),MATCH(G$9,MMWR_RATING_RO_ROLLUP[#Headers],0)),"ERROR"))</f>
        <v>120</v>
      </c>
      <c r="H43" s="155">
        <f>IF($B43=" ","",IFERROR(INDEX(MMWR_RATING_RO_ROLLUP[],MATCH($B43,MMWR_RATING_RO_ROLLUP[MMWR_RATING_RO_ROLLUP],0),MATCH(H$9,MMWR_RATING_RO_ROLLUP[#Headers],0)),"ERROR"))</f>
        <v>134.89743589739999</v>
      </c>
      <c r="I43" s="155">
        <f>IF($B43=" ","",IFERROR(INDEX(MMWR_RATING_RO_ROLLUP[],MATCH($B43,MMWR_RATING_RO_ROLLUP[MMWR_RATING_RO_ROLLUP],0),MATCH(I$9,MMWR_RATING_RO_ROLLUP[#Headers],0)),"ERROR"))</f>
        <v>123.05</v>
      </c>
      <c r="J43" s="42"/>
      <c r="K43" s="42"/>
      <c r="L43" s="42"/>
      <c r="M43" s="42"/>
      <c r="N43" s="42"/>
      <c r="O43" s="42"/>
      <c r="P43" s="28"/>
    </row>
    <row r="44" spans="1:16" x14ac:dyDescent="0.2">
      <c r="A44" s="25"/>
      <c r="B44" s="357" t="s">
        <v>734</v>
      </c>
      <c r="C44" s="358"/>
      <c r="D44" s="358"/>
      <c r="E44" s="358"/>
      <c r="F44" s="358"/>
      <c r="G44" s="358"/>
      <c r="H44" s="358"/>
      <c r="I44" s="358"/>
      <c r="J44" s="358"/>
      <c r="K44" s="358"/>
      <c r="L44" s="358"/>
      <c r="M44" s="358"/>
      <c r="N44" s="358"/>
      <c r="O44" s="358"/>
      <c r="P44" s="28"/>
    </row>
    <row r="45" spans="1:16" x14ac:dyDescent="0.2">
      <c r="A45" s="25"/>
      <c r="B45" s="44" t="s">
        <v>695</v>
      </c>
      <c r="C45" s="154">
        <f>IF($B45=" ","",IFERROR(INDEX(MMWR_RATING_RO_ROLLUP[],MATCH($B45,MMWR_RATING_RO_ROLLUP[MMWR_RATING_RO_ROLLUP],0),MATCH(C$9,MMWR_RATING_RO_ROLLUP[#Headers],0)),"ERROR"))</f>
        <v>11590</v>
      </c>
      <c r="D45" s="155">
        <f>IF($B45=" ","",IFERROR(INDEX(MMWR_RATING_RO_ROLLUP[],MATCH($B45,MMWR_RATING_RO_ROLLUP[MMWR_RATING_RO_ROLLUP],0),MATCH(D$9,MMWR_RATING_RO_ROLLUP[#Headers],0)),"ERROR"))</f>
        <v>83.029508196699993</v>
      </c>
      <c r="E45" s="156">
        <f>IF($B45=" ","",IFERROR(INDEX(MMWR_RATING_RO_ROLLUP[],MATCH($B45,MMWR_RATING_RO_ROLLUP[MMWR_RATING_RO_ROLLUP],0),MATCH(E$9,MMWR_RATING_RO_ROLLUP[#Headers],0))/$C45,"ERROR"))</f>
        <v>0.1810181190681622</v>
      </c>
      <c r="F45" s="154">
        <f>IF($B45=" ","",IFERROR(INDEX(MMWR_RATING_RO_ROLLUP[],MATCH($B45,MMWR_RATING_RO_ROLLUP[MMWR_RATING_RO_ROLLUP],0),MATCH(F$9,MMWR_RATING_RO_ROLLUP[#Headers],0)),"ERROR"))</f>
        <v>1363</v>
      </c>
      <c r="G45" s="154">
        <f>IF($B45=" ","",IFERROR(INDEX(MMWR_RATING_RO_ROLLUP[],MATCH($B45,MMWR_RATING_RO_ROLLUP[MMWR_RATING_RO_ROLLUP],0),MATCH(G$9,MMWR_RATING_RO_ROLLUP[#Headers],0)),"ERROR"))</f>
        <v>4944</v>
      </c>
      <c r="H45" s="155">
        <f>IF($B45=" ","",IFERROR(INDEX(MMWR_RATING_RO_ROLLUP[],MATCH($B45,MMWR_RATING_RO_ROLLUP[MMWR_RATING_RO_ROLLUP],0),MATCH(H$9,MMWR_RATING_RO_ROLLUP[#Headers],0)),"ERROR"))</f>
        <v>137.05722670579999</v>
      </c>
      <c r="I45" s="155">
        <f>IF($B45=" ","",IFERROR(INDEX(MMWR_RATING_RO_ROLLUP[],MATCH($B45,MMWR_RATING_RO_ROLLUP[MMWR_RATING_RO_ROLLUP],0),MATCH(I$9,MMWR_RATING_RO_ROLLUP[#Headers],0)),"ERROR"))</f>
        <v>131.4965614887</v>
      </c>
      <c r="J45" s="42"/>
      <c r="K45" s="42"/>
      <c r="L45" s="42"/>
      <c r="M45" s="42"/>
      <c r="N45" s="42"/>
      <c r="O45" s="42"/>
      <c r="P45" s="28"/>
    </row>
    <row r="46" spans="1:16" x14ac:dyDescent="0.2">
      <c r="A46" s="25"/>
      <c r="B46" s="45" t="s">
        <v>214</v>
      </c>
      <c r="C46" s="154">
        <f>IF($B46=" ","",IFERROR(INDEX(MMWR_RATING_RO_ROLLUP[],MATCH($B46,MMWR_RATING_RO_ROLLUP[MMWR_RATING_RO_ROLLUP],0),MATCH(C$9,MMWR_RATING_RO_ROLLUP[#Headers],0)),"ERROR"))</f>
        <v>4494</v>
      </c>
      <c r="D46" s="155">
        <f>IF($B46=" ","",IFERROR(INDEX(MMWR_RATING_RO_ROLLUP[],MATCH($B46,MMWR_RATING_RO_ROLLUP[MMWR_RATING_RO_ROLLUP],0),MATCH(D$9,MMWR_RATING_RO_ROLLUP[#Headers],0)),"ERROR"))</f>
        <v>74.125945705399999</v>
      </c>
      <c r="E46" s="156">
        <f>IF($B46=" ","",IFERROR(INDEX(MMWR_RATING_RO_ROLLUP[],MATCH($B46,MMWR_RATING_RO_ROLLUP[MMWR_RATING_RO_ROLLUP],0),MATCH(E$9,MMWR_RATING_RO_ROLLUP[#Headers],0))/$C46,"ERROR"))</f>
        <v>0.10191366266132622</v>
      </c>
      <c r="F46" s="154">
        <f>IF($B46=" ","",IFERROR(INDEX(MMWR_RATING_RO_ROLLUP[],MATCH($B46,MMWR_RATING_RO_ROLLUP[MMWR_RATING_RO_ROLLUP],0),MATCH(F$9,MMWR_RATING_RO_ROLLUP[#Headers],0)),"ERROR"))</f>
        <v>602</v>
      </c>
      <c r="G46" s="154">
        <f>IF($B46=" ","",IFERROR(INDEX(MMWR_RATING_RO_ROLLUP[],MATCH($B46,MMWR_RATING_RO_ROLLUP[MMWR_RATING_RO_ROLLUP],0),MATCH(G$9,MMWR_RATING_RO_ROLLUP[#Headers],0)),"ERROR"))</f>
        <v>2218</v>
      </c>
      <c r="H46" s="155">
        <f>IF($B46=" ","",IFERROR(INDEX(MMWR_RATING_RO_ROLLUP[],MATCH($B46,MMWR_RATING_RO_ROLLUP[MMWR_RATING_RO_ROLLUP],0),MATCH(H$9,MMWR_RATING_RO_ROLLUP[#Headers],0)),"ERROR"))</f>
        <v>126.1279069767</v>
      </c>
      <c r="I46" s="155">
        <f>IF($B46=" ","",IFERROR(INDEX(MMWR_RATING_RO_ROLLUP[],MATCH($B46,MMWR_RATING_RO_ROLLUP[MMWR_RATING_RO_ROLLUP],0),MATCH(I$9,MMWR_RATING_RO_ROLLUP[#Headers],0)),"ERROR"))</f>
        <v>119.4995491434</v>
      </c>
      <c r="J46" s="42"/>
      <c r="K46" s="42"/>
      <c r="L46" s="42"/>
      <c r="M46" s="42"/>
      <c r="N46" s="42"/>
      <c r="O46" s="42"/>
      <c r="P46" s="28"/>
    </row>
    <row r="47" spans="1:16" x14ac:dyDescent="0.2">
      <c r="A47" s="25"/>
      <c r="B47" s="45" t="s">
        <v>216</v>
      </c>
      <c r="C47" s="154">
        <f>IF($B47=" ","",IFERROR(INDEX(MMWR_RATING_RO_ROLLUP[],MATCH($B47,MMWR_RATING_RO_ROLLUP[MMWR_RATING_RO_ROLLUP],0),MATCH(C$9,MMWR_RATING_RO_ROLLUP[#Headers],0)),"ERROR"))</f>
        <v>5796</v>
      </c>
      <c r="D47" s="155">
        <f>IF($B47=" ","",IFERROR(INDEX(MMWR_RATING_RO_ROLLUP[],MATCH($B47,MMWR_RATING_RO_ROLLUP[MMWR_RATING_RO_ROLLUP],0),MATCH(D$9,MMWR_RATING_RO_ROLLUP[#Headers],0)),"ERROR"))</f>
        <v>81.409075224299997</v>
      </c>
      <c r="E47" s="156">
        <f>IF($B47=" ","",IFERROR(INDEX(MMWR_RATING_RO_ROLLUP[],MATCH($B47,MMWR_RATING_RO_ROLLUP[MMWR_RATING_RO_ROLLUP],0),MATCH(E$9,MMWR_RATING_RO_ROLLUP[#Headers],0))/$C47,"ERROR"))</f>
        <v>0.13733609385783299</v>
      </c>
      <c r="F47" s="154">
        <f>IF($B47=" ","",IFERROR(INDEX(MMWR_RATING_RO_ROLLUP[],MATCH($B47,MMWR_RATING_RO_ROLLUP[MMWR_RATING_RO_ROLLUP],0),MATCH(F$9,MMWR_RATING_RO_ROLLUP[#Headers],0)),"ERROR"))</f>
        <v>640</v>
      </c>
      <c r="G47" s="154">
        <f>IF($B47=" ","",IFERROR(INDEX(MMWR_RATING_RO_ROLLUP[],MATCH($B47,MMWR_RATING_RO_ROLLUP[MMWR_RATING_RO_ROLLUP],0),MATCH(G$9,MMWR_RATING_RO_ROLLUP[#Headers],0)),"ERROR"))</f>
        <v>2368</v>
      </c>
      <c r="H47" s="155">
        <f>IF($B47=" ","",IFERROR(INDEX(MMWR_RATING_RO_ROLLUP[],MATCH($B47,MMWR_RATING_RO_ROLLUP[MMWR_RATING_RO_ROLLUP],0),MATCH(H$9,MMWR_RATING_RO_ROLLUP[#Headers],0)),"ERROR"))</f>
        <v>151.9140625</v>
      </c>
      <c r="I47" s="155">
        <f>IF($B47=" ","",IFERROR(INDEX(MMWR_RATING_RO_ROLLUP[],MATCH($B47,MMWR_RATING_RO_ROLLUP[MMWR_RATING_RO_ROLLUP],0),MATCH(I$9,MMWR_RATING_RO_ROLLUP[#Headers],0)),"ERROR"))</f>
        <v>147.9932432432</v>
      </c>
      <c r="J47" s="42"/>
      <c r="K47" s="42"/>
      <c r="L47" s="42"/>
      <c r="M47" s="42"/>
      <c r="N47" s="42"/>
      <c r="O47" s="42"/>
      <c r="P47" s="28"/>
    </row>
    <row r="48" spans="1:16" x14ac:dyDescent="0.2">
      <c r="A48" s="25"/>
      <c r="B48" s="47" t="s">
        <v>307</v>
      </c>
      <c r="C48" s="154">
        <f>IF($B48=" ","",IFERROR(INDEX(MMWR_RATING_RO_ROLLUP[],MATCH($B48,MMWR_RATING_RO_ROLLUP[MMWR_RATING_RO_ROLLUP],0),MATCH(C$9,MMWR_RATING_RO_ROLLUP[#Headers],0)),"ERROR"))</f>
        <v>1300</v>
      </c>
      <c r="D48" s="155">
        <f>IF($B48=" ","",IFERROR(INDEX(MMWR_RATING_RO_ROLLUP[],MATCH($B48,MMWR_RATING_RO_ROLLUP[MMWR_RATING_RO_ROLLUP],0),MATCH(D$9,MMWR_RATING_RO_ROLLUP[#Headers],0)),"ERROR"))</f>
        <v>121.0330769231</v>
      </c>
      <c r="E48" s="156">
        <f>IF($B48=" ","",IFERROR(INDEX(MMWR_RATING_RO_ROLLUP[],MATCH($B48,MMWR_RATING_RO_ROLLUP[MMWR_RATING_RO_ROLLUP],0),MATCH(E$9,MMWR_RATING_RO_ROLLUP[#Headers],0))/$C48,"ERROR"))</f>
        <v>0.64923076923076928</v>
      </c>
      <c r="F48" s="154">
        <f>IF($B48=" ","",IFERROR(INDEX(MMWR_RATING_RO_ROLLUP[],MATCH($B48,MMWR_RATING_RO_ROLLUP[MMWR_RATING_RO_ROLLUP],0),MATCH(F$9,MMWR_RATING_RO_ROLLUP[#Headers],0)),"ERROR"))</f>
        <v>121</v>
      </c>
      <c r="G48" s="154">
        <f>IF($B48=" ","",IFERROR(INDEX(MMWR_RATING_RO_ROLLUP[],MATCH($B48,MMWR_RATING_RO_ROLLUP[MMWR_RATING_RO_ROLLUP],0),MATCH(G$9,MMWR_RATING_RO_ROLLUP[#Headers],0)),"ERROR"))</f>
        <v>358</v>
      </c>
      <c r="H48" s="155">
        <f>IF($B48=" ","",IFERROR(INDEX(MMWR_RATING_RO_ROLLUP[],MATCH($B48,MMWR_RATING_RO_ROLLUP[MMWR_RATING_RO_ROLLUP],0),MATCH(H$9,MMWR_RATING_RO_ROLLUP[#Headers],0)),"ERROR"))</f>
        <v>112.8512396694</v>
      </c>
      <c r="I48" s="155">
        <f>IF($B48=" ","",IFERROR(INDEX(MMWR_RATING_RO_ROLLUP[],MATCH($B48,MMWR_RATING_RO_ROLLUP[MMWR_RATING_RO_ROLLUP],0),MATCH(I$9,MMWR_RATING_RO_ROLLUP[#Headers],0)),"ERROR"))</f>
        <v>96.706703910599998</v>
      </c>
      <c r="J48" s="42"/>
      <c r="K48" s="42"/>
      <c r="L48" s="42"/>
      <c r="M48" s="42"/>
      <c r="N48" s="42"/>
      <c r="O48" s="42"/>
      <c r="P48" s="28"/>
    </row>
    <row r="49" spans="1:16" ht="15.75" x14ac:dyDescent="0.25">
      <c r="A49" s="25"/>
      <c r="B49" s="356" t="s">
        <v>1051</v>
      </c>
      <c r="C49" s="356"/>
      <c r="D49" s="356"/>
      <c r="E49" s="356"/>
      <c r="F49" s="356"/>
      <c r="G49" s="356"/>
      <c r="H49" s="356"/>
      <c r="I49" s="356"/>
      <c r="J49" s="356"/>
      <c r="K49" s="356"/>
      <c r="L49" s="356"/>
      <c r="M49" s="356"/>
      <c r="N49" s="356"/>
      <c r="O49" s="262"/>
      <c r="P49" s="28"/>
    </row>
    <row r="50" spans="1:16" ht="12" customHeight="1" x14ac:dyDescent="0.2">
      <c r="A50" s="25"/>
      <c r="B50" s="26"/>
      <c r="C50" s="26"/>
      <c r="D50" s="26"/>
      <c r="E50" s="26"/>
      <c r="F50" s="26"/>
      <c r="G50" s="26"/>
      <c r="H50" s="26"/>
      <c r="I50" s="26"/>
      <c r="J50" s="26"/>
      <c r="K50" s="27" t="s">
        <v>922</v>
      </c>
      <c r="L50" s="27" t="s">
        <v>927</v>
      </c>
      <c r="M50" s="27" t="s">
        <v>928</v>
      </c>
      <c r="N50" s="27" t="s">
        <v>929</v>
      </c>
      <c r="O50" s="27" t="s">
        <v>930</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4" priority="2">
      <formula>IF(OR(ISERROR(A1),A1="ERROR"),TRUE,FALSE)</formula>
    </cfRule>
  </conditionalFormatting>
  <conditionalFormatting sqref="B4">
    <cfRule type="expression" dxfId="433"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71" t="s">
        <v>293</v>
      </c>
      <c r="D2" s="372"/>
      <c r="E2" s="372"/>
      <c r="F2" s="372"/>
      <c r="G2" s="372"/>
      <c r="H2" s="372"/>
      <c r="I2" s="372"/>
      <c r="J2" s="371" t="s">
        <v>299</v>
      </c>
      <c r="K2" s="372"/>
      <c r="L2" s="372"/>
      <c r="M2" s="373"/>
      <c r="N2" s="28"/>
    </row>
    <row r="3" spans="1:16" ht="24" customHeight="1" thickBot="1" x14ac:dyDescent="0.4">
      <c r="A3" s="25"/>
      <c r="B3" s="29"/>
      <c r="C3" s="374"/>
      <c r="D3" s="375"/>
      <c r="E3" s="375"/>
      <c r="F3" s="375"/>
      <c r="G3" s="375"/>
      <c r="H3" s="375"/>
      <c r="I3" s="375"/>
      <c r="J3" s="374" t="str">
        <f>Transformation!B4</f>
        <v>As of: December 19, 2015</v>
      </c>
      <c r="K3" s="375"/>
      <c r="L3" s="375"/>
      <c r="M3" s="376"/>
      <c r="N3" s="28"/>
    </row>
    <row r="4" spans="1:16" ht="51" customHeight="1" thickBot="1" x14ac:dyDescent="0.35">
      <c r="A4" s="30"/>
      <c r="B4" s="247" t="s">
        <v>455</v>
      </c>
      <c r="C4" s="377" t="s">
        <v>970</v>
      </c>
      <c r="D4" s="378"/>
      <c r="E4" s="378"/>
      <c r="F4" s="378"/>
      <c r="G4" s="378"/>
      <c r="H4" s="378"/>
      <c r="I4" s="378"/>
      <c r="J4" s="378"/>
      <c r="K4" s="378"/>
      <c r="L4" s="378"/>
      <c r="M4" s="379"/>
      <c r="N4" s="28"/>
      <c r="O4" s="22"/>
      <c r="P4" s="23"/>
    </row>
    <row r="5" spans="1:16" ht="27" customHeight="1" thickBot="1" x14ac:dyDescent="0.25">
      <c r="A5" s="30"/>
      <c r="B5" s="48"/>
      <c r="C5" s="380" t="s">
        <v>1042</v>
      </c>
      <c r="D5" s="381"/>
      <c r="E5" s="381"/>
      <c r="F5" s="381"/>
      <c r="G5" s="381"/>
      <c r="H5" s="381"/>
      <c r="I5" s="381"/>
      <c r="J5" s="381"/>
      <c r="K5" s="381"/>
      <c r="L5" s="381"/>
      <c r="M5" s="381"/>
      <c r="N5" s="381"/>
      <c r="O5" s="382"/>
    </row>
    <row r="6" spans="1:16" ht="55.5" customHeight="1" x14ac:dyDescent="0.2">
      <c r="A6" s="30"/>
      <c r="B6" s="31"/>
      <c r="C6" s="32" t="s">
        <v>193</v>
      </c>
      <c r="D6" s="383" t="s">
        <v>16</v>
      </c>
      <c r="E6" s="384"/>
      <c r="F6" s="33" t="s">
        <v>196</v>
      </c>
      <c r="G6" s="383" t="s">
        <v>201</v>
      </c>
      <c r="H6" s="385"/>
      <c r="I6" s="33" t="s">
        <v>199</v>
      </c>
      <c r="J6" s="49" t="s">
        <v>14</v>
      </c>
      <c r="K6" s="33" t="s">
        <v>204</v>
      </c>
      <c r="L6" s="389" t="s">
        <v>88</v>
      </c>
      <c r="M6" s="402"/>
      <c r="N6" s="28"/>
    </row>
    <row r="7" spans="1:16" ht="51.75" customHeight="1" x14ac:dyDescent="0.2">
      <c r="A7" s="30"/>
      <c r="B7" s="34"/>
      <c r="C7" s="35" t="s">
        <v>194</v>
      </c>
      <c r="D7" s="359" t="s">
        <v>0</v>
      </c>
      <c r="E7" s="360"/>
      <c r="F7" s="36" t="s">
        <v>197</v>
      </c>
      <c r="G7" s="361" t="s">
        <v>202</v>
      </c>
      <c r="H7" s="361"/>
      <c r="I7" s="36" t="s">
        <v>200</v>
      </c>
      <c r="J7" s="50" t="s">
        <v>19</v>
      </c>
      <c r="K7" s="36" t="s">
        <v>205</v>
      </c>
      <c r="L7" s="403" t="s">
        <v>90</v>
      </c>
      <c r="M7" s="404"/>
      <c r="N7" s="28"/>
    </row>
    <row r="8" spans="1:16" ht="51.75" customHeight="1" thickBot="1" x14ac:dyDescent="0.25">
      <c r="A8" s="25"/>
      <c r="B8" s="28"/>
      <c r="C8" s="37" t="s">
        <v>195</v>
      </c>
      <c r="D8" s="362" t="s">
        <v>18</v>
      </c>
      <c r="E8" s="363"/>
      <c r="F8" s="38" t="s">
        <v>198</v>
      </c>
      <c r="G8" s="364" t="s">
        <v>17</v>
      </c>
      <c r="H8" s="364"/>
      <c r="I8" s="38" t="s">
        <v>203</v>
      </c>
      <c r="J8" s="51" t="s">
        <v>87</v>
      </c>
      <c r="K8" s="38" t="s">
        <v>206</v>
      </c>
      <c r="L8" s="405" t="s">
        <v>89</v>
      </c>
      <c r="M8" s="406"/>
      <c r="N8" s="28"/>
    </row>
    <row r="9" spans="1:16" x14ac:dyDescent="0.2">
      <c r="A9" s="28"/>
      <c r="B9" s="28"/>
      <c r="C9" s="39" t="s">
        <v>699</v>
      </c>
      <c r="D9" s="39" t="s">
        <v>701</v>
      </c>
      <c r="E9" s="39" t="s">
        <v>700</v>
      </c>
      <c r="F9" s="39" t="s">
        <v>703</v>
      </c>
      <c r="G9" s="39" t="s">
        <v>702</v>
      </c>
      <c r="H9" s="39" t="s">
        <v>713</v>
      </c>
      <c r="I9" s="39" t="s">
        <v>712</v>
      </c>
      <c r="J9" s="39"/>
      <c r="K9" s="39"/>
      <c r="L9" s="39"/>
      <c r="M9" s="39"/>
      <c r="N9" s="28"/>
    </row>
    <row r="10" spans="1:16" ht="15.75" customHeight="1" x14ac:dyDescent="0.2">
      <c r="A10" s="25"/>
      <c r="B10" s="26"/>
      <c r="C10" s="365" t="s">
        <v>292</v>
      </c>
      <c r="D10" s="365"/>
      <c r="E10" s="365"/>
      <c r="F10" s="365"/>
      <c r="G10" s="365"/>
      <c r="H10" s="365"/>
      <c r="I10" s="365"/>
      <c r="J10" s="365"/>
      <c r="K10" s="365"/>
      <c r="L10" s="365"/>
      <c r="M10" s="407"/>
      <c r="N10" s="28"/>
    </row>
    <row r="11" spans="1:16" ht="64.5" customHeight="1" x14ac:dyDescent="0.2">
      <c r="A11" s="25"/>
      <c r="B11" s="26"/>
      <c r="C11" s="52" t="s">
        <v>229</v>
      </c>
      <c r="D11" s="52" t="s">
        <v>137</v>
      </c>
      <c r="E11" s="52" t="s">
        <v>230</v>
      </c>
      <c r="F11" s="52" t="s">
        <v>192</v>
      </c>
      <c r="G11" s="52" t="s">
        <v>207</v>
      </c>
      <c r="H11" s="52" t="s">
        <v>209</v>
      </c>
      <c r="I11" s="52" t="s">
        <v>210</v>
      </c>
      <c r="J11" s="409" t="s">
        <v>971</v>
      </c>
      <c r="K11" s="410"/>
      <c r="L11" s="410"/>
      <c r="M11" s="411"/>
      <c r="N11" s="28"/>
    </row>
    <row r="12" spans="1:16" x14ac:dyDescent="0.2">
      <c r="A12" s="25"/>
      <c r="B12" s="41" t="s">
        <v>729</v>
      </c>
      <c r="C12" s="154">
        <f>IF($B12=" ","",IFERROR(INDEX(MMWR_RATING_RO_ROLLUP[],MATCH($B12,MMWR_RATING_RO_ROLLUP[MMWR_RATING_RO_ROLLUP],0),MATCH(C$9,MMWR_RATING_RO_ROLLUP[#Headers],0)),"ERROR"))</f>
        <v>364497</v>
      </c>
      <c r="D12" s="155">
        <f>IF($B12=" ","",IFERROR(INDEX(MMWR_RATING_RO_ROLLUP[],MATCH($B12,MMWR_RATING_RO_ROLLUP[MMWR_RATING_RO_ROLLUP],0),MATCH(D$9,MMWR_RATING_RO_ROLLUP[#Headers],0)),"ERROR"))</f>
        <v>89.797416713999993</v>
      </c>
      <c r="E12" s="156">
        <f>IF($B12=" ","",IFERROR(INDEX(MMWR_RATING_RO_ROLLUP[],MATCH($B12,MMWR_RATING_RO_ROLLUP[MMWR_RATING_RO_ROLLUP],0),MATCH(E$9,MMWR_RATING_RO_ROLLUP[#Headers],0))/$C12,"ERROR"))</f>
        <v>0.20227875675245613</v>
      </c>
      <c r="F12" s="154">
        <f>IF($B12=" ","",IFERROR(INDEX(MMWR_RATING_RO_ROLLUP[],MATCH($B12,MMWR_RATING_RO_ROLLUP[MMWR_RATING_RO_ROLLUP],0),MATCH(F$9,MMWR_RATING_RO_ROLLUP[#Headers],0)),"ERROR"))</f>
        <v>69676</v>
      </c>
      <c r="G12" s="154">
        <f>IF($B12=" ","",IFERROR(INDEX(MMWR_RATING_RO_ROLLUP[],MATCH($B12,MMWR_RATING_RO_ROLLUP[MMWR_RATING_RO_ROLLUP],0),MATCH(G$9,MMWR_RATING_RO_ROLLUP[#Headers],0)),"ERROR"))</f>
        <v>273315</v>
      </c>
      <c r="H12" s="155">
        <f>IF($B12=" ","",IFERROR(INDEX(MMWR_RATING_RO_ROLLUP[],MATCH($B12,MMWR_RATING_RO_ROLLUP[MMWR_RATING_RO_ROLLUP],0),MATCH(H$9,MMWR_RATING_RO_ROLLUP[#Headers],0)),"ERROR"))</f>
        <v>128.14261725700001</v>
      </c>
      <c r="I12" s="155">
        <f>IF($B12=" ","",IFERROR(INDEX(MMWR_RATING_RO_ROLLUP[],MATCH($B12,MMWR_RATING_RO_ROLLUP[MMWR_RATING_RO_ROLLUP],0),MATCH(I$9,MMWR_RATING_RO_ROLLUP[#Headers],0)),"ERROR"))</f>
        <v>128.173064047</v>
      </c>
      <c r="J12" s="42"/>
      <c r="K12" s="42"/>
      <c r="L12" s="42"/>
      <c r="M12" s="42"/>
      <c r="N12" s="28"/>
    </row>
    <row r="13" spans="1:16" x14ac:dyDescent="0.2">
      <c r="A13" s="25"/>
      <c r="B13" s="357" t="s">
        <v>732</v>
      </c>
      <c r="C13" s="358"/>
      <c r="D13" s="358"/>
      <c r="E13" s="358"/>
      <c r="F13" s="358"/>
      <c r="G13" s="358"/>
      <c r="H13" s="358"/>
      <c r="I13" s="358"/>
      <c r="J13" s="358"/>
      <c r="K13" s="358"/>
      <c r="L13" s="358"/>
      <c r="M13" s="408"/>
      <c r="N13" s="28"/>
    </row>
    <row r="14" spans="1:16" x14ac:dyDescent="0.2">
      <c r="A14" s="25"/>
      <c r="B14" s="41" t="s">
        <v>728</v>
      </c>
      <c r="C14" s="154">
        <f>IF($B14=" ","",IFERROR(INDEX(MMWR_RATING_RO_ROLLUP[],MATCH($B14,MMWR_RATING_RO_ROLLUP[MMWR_RATING_RO_ROLLUP],0),MATCH(C$9,MMWR_RATING_RO_ROLLUP[#Headers],0)),"ERROR"))</f>
        <v>315769</v>
      </c>
      <c r="D14" s="155">
        <f>IF($B14=" ","",IFERROR(INDEX(MMWR_RATING_RO_ROLLUP[],MATCH($B14,MMWR_RATING_RO_ROLLUP[MMWR_RATING_RO_ROLLUP],0),MATCH(D$9,MMWR_RATING_RO_ROLLUP[#Headers],0)),"ERROR"))</f>
        <v>92.482656625600001</v>
      </c>
      <c r="E14" s="156">
        <f>IF($B14=" ","",IFERROR(INDEX(MMWR_RATING_RO_ROLLUP[],MATCH($B14,MMWR_RATING_RO_ROLLUP[MMWR_RATING_RO_ROLLUP],0),MATCH(E$9,MMWR_RATING_RO_ROLLUP[#Headers],0))/$C14,"ERROR"))</f>
        <v>0.21373219030367135</v>
      </c>
      <c r="F14" s="154">
        <f>IF($B14=" ","",IFERROR(INDEX(MMWR_RATING_RO_ROLLUP[],MATCH($B14,MMWR_RATING_RO_ROLLUP[MMWR_RATING_RO_ROLLUP],0),MATCH(F$9,MMWR_RATING_RO_ROLLUP[#Headers],0)),"ERROR"))</f>
        <v>58919</v>
      </c>
      <c r="G14" s="154">
        <f>IF($B14=" ","",IFERROR(INDEX(MMWR_RATING_RO_ROLLUP[],MATCH($B14,MMWR_RATING_RO_ROLLUP[MMWR_RATING_RO_ROLLUP],0),MATCH(G$9,MMWR_RATING_RO_ROLLUP[#Headers],0)),"ERROR"))</f>
        <v>232419</v>
      </c>
      <c r="H14" s="155">
        <f>IF($B14=" ","",IFERROR(INDEX(MMWR_RATING_RO_ROLLUP[],MATCH($B14,MMWR_RATING_RO_ROLLUP[MMWR_RATING_RO_ROLLUP],0),MATCH(H$9,MMWR_RATING_RO_ROLLUP[#Headers],0)),"ERROR"))</f>
        <v>134.91675011460001</v>
      </c>
      <c r="I14" s="155">
        <f>IF($B14=" ","",IFERROR(INDEX(MMWR_RATING_RO_ROLLUP[],MATCH($B14,MMWR_RATING_RO_ROLLUP[MMWR_RATING_RO_ROLLUP],0),MATCH(I$9,MMWR_RATING_RO_ROLLUP[#Headers],0)),"ERROR"))</f>
        <v>135.72065106549999</v>
      </c>
      <c r="J14" s="42"/>
      <c r="K14" s="42"/>
      <c r="L14" s="42"/>
      <c r="M14" s="42"/>
      <c r="N14" s="28"/>
    </row>
    <row r="15" spans="1:16" x14ac:dyDescent="0.2">
      <c r="A15" s="25"/>
      <c r="B15" s="248" t="s">
        <v>369</v>
      </c>
      <c r="C15" s="154">
        <f>IF($B15=" ","",IFERROR(INDEX(MMWR_RATING_RO_ROLLUP[],MATCH($B15,MMWR_RATING_RO_ROLLUP[MMWR_RATING_RO_ROLLUP],0),MATCH(C$9,MMWR_RATING_RO_ROLLUP[#Headers],0)),"ERROR"))</f>
        <v>70679</v>
      </c>
      <c r="D15" s="155">
        <f>IF($B15=" ","",IFERROR(INDEX(MMWR_RATING_RO_ROLLUP[],MATCH($B15,MMWR_RATING_RO_ROLLUP[MMWR_RATING_RO_ROLLUP],0),MATCH(D$9,MMWR_RATING_RO_ROLLUP[#Headers],0)),"ERROR"))</f>
        <v>94.760480482199995</v>
      </c>
      <c r="E15" s="156">
        <f>IF($B15=" ","",IFERROR(INDEX(MMWR_RATING_RO_ROLLUP[],MATCH($B15,MMWR_RATING_RO_ROLLUP[MMWR_RATING_RO_ROLLUP],0),MATCH(E$9,MMWR_RATING_RO_ROLLUP[#Headers],0))/$C15,"ERROR"))</f>
        <v>0.22179147978890476</v>
      </c>
      <c r="F15" s="154">
        <f>IF($B15=" ","",IFERROR(INDEX(MMWR_RATING_RO_ROLLUP[],MATCH($B15,MMWR_RATING_RO_ROLLUP[MMWR_RATING_RO_ROLLUP],0),MATCH(F$9,MMWR_RATING_RO_ROLLUP[#Headers],0)),"ERROR"))</f>
        <v>12796</v>
      </c>
      <c r="G15" s="154">
        <f>IF($B15=" ","",IFERROR(INDEX(MMWR_RATING_RO_ROLLUP[],MATCH($B15,MMWR_RATING_RO_ROLLUP[MMWR_RATING_RO_ROLLUP],0),MATCH(G$9,MMWR_RATING_RO_ROLLUP[#Headers],0)),"ERROR"))</f>
        <v>51039</v>
      </c>
      <c r="H15" s="155">
        <f>IF($B15=" ","",IFERROR(INDEX(MMWR_RATING_RO_ROLLUP[],MATCH($B15,MMWR_RATING_RO_ROLLUP[MMWR_RATING_RO_ROLLUP],0),MATCH(H$9,MMWR_RATING_RO_ROLLUP[#Headers],0)),"ERROR"))</f>
        <v>136.84127852450001</v>
      </c>
      <c r="I15" s="155">
        <f>IF($B15=" ","",IFERROR(INDEX(MMWR_RATING_RO_ROLLUP[],MATCH($B15,MMWR_RATING_RO_ROLLUP[MMWR_RATING_RO_ROLLUP],0),MATCH(I$9,MMWR_RATING_RO_ROLLUP[#Headers],0)),"ERROR"))</f>
        <v>136.20388330489999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4624</v>
      </c>
      <c r="D16" s="155">
        <f>IF($B16=" ","",IFERROR(INDEX(MMWR_RATING_RO_ROLLUP[],MATCH($B16,MMWR_RATING_RO_ROLLUP[MMWR_RATING_RO_ROLLUP],0),MATCH(D$9,MMWR_RATING_RO_ROLLUP[#Headers],0)),"ERROR"))</f>
        <v>92.531358131499999</v>
      </c>
      <c r="E16" s="156">
        <f>IF($B16=" ","",IFERROR(INDEX(MMWR_RATING_RO_ROLLUP[],MATCH($B16,MMWR_RATING_RO_ROLLUP[MMWR_RATING_RO_ROLLUP],0),MATCH(E$9,MMWR_RATING_RO_ROLLUP[#Headers],0))/$C16,"ERROR"))</f>
        <v>0.19615051903114186</v>
      </c>
      <c r="F16" s="154">
        <f>IF($B16=" ","",IFERROR(INDEX(MMWR_RATING_RO_ROLLUP[],MATCH($B16,MMWR_RATING_RO_ROLLUP[MMWR_RATING_RO_ROLLUP],0),MATCH(F$9,MMWR_RATING_RO_ROLLUP[#Headers],0)),"ERROR"))</f>
        <v>842</v>
      </c>
      <c r="G16" s="154">
        <f>IF($B16=" ","",IFERROR(INDEX(MMWR_RATING_RO_ROLLUP[],MATCH($B16,MMWR_RATING_RO_ROLLUP[MMWR_RATING_RO_ROLLUP],0),MATCH(G$9,MMWR_RATING_RO_ROLLUP[#Headers],0)),"ERROR"))</f>
        <v>3500</v>
      </c>
      <c r="H16" s="155">
        <f>IF($B16=" ","",IFERROR(INDEX(MMWR_RATING_RO_ROLLUP[],MATCH($B16,MMWR_RATING_RO_ROLLUP[MMWR_RATING_RO_ROLLUP],0),MATCH(H$9,MMWR_RATING_RO_ROLLUP[#Headers],0)),"ERROR"))</f>
        <v>142.35866983369999</v>
      </c>
      <c r="I16" s="155">
        <f>IF($B16=" ","",IFERROR(INDEX(MMWR_RATING_RO_ROLLUP[],MATCH($B16,MMWR_RATING_RO_ROLLUP[MMWR_RATING_RO_ROLLUP],0),MATCH(I$9,MMWR_RATING_RO_ROLLUP[#Headers],0)),"ERROR"))</f>
        <v>143.2965714286</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3496</v>
      </c>
      <c r="D17" s="155">
        <f>IF($B17=" ","",IFERROR(INDEX(MMWR_RATING_RO_ROLLUP[],MATCH($B17,MMWR_RATING_RO_ROLLUP[MMWR_RATING_RO_ROLLUP],0),MATCH(D$9,MMWR_RATING_RO_ROLLUP[#Headers],0)),"ERROR"))</f>
        <v>97.457665903899994</v>
      </c>
      <c r="E17" s="156">
        <f>IF($B17=" ","",IFERROR(INDEX(MMWR_RATING_RO_ROLLUP[],MATCH($B17,MMWR_RATING_RO_ROLLUP[MMWR_RATING_RO_ROLLUP],0),MATCH(E$9,MMWR_RATING_RO_ROLLUP[#Headers],0))/$C17,"ERROR"))</f>
        <v>0.25915331807780323</v>
      </c>
      <c r="F17" s="154">
        <f>IF($B17=" ","",IFERROR(INDEX(MMWR_RATING_RO_ROLLUP[],MATCH($B17,MMWR_RATING_RO_ROLLUP[MMWR_RATING_RO_ROLLUP],0),MATCH(F$9,MMWR_RATING_RO_ROLLUP[#Headers],0)),"ERROR"))</f>
        <v>655</v>
      </c>
      <c r="G17" s="154">
        <f>IF($B17=" ","",IFERROR(INDEX(MMWR_RATING_RO_ROLLUP[],MATCH($B17,MMWR_RATING_RO_ROLLUP[MMWR_RATING_RO_ROLLUP],0),MATCH(G$9,MMWR_RATING_RO_ROLLUP[#Headers],0)),"ERROR"))</f>
        <v>2575</v>
      </c>
      <c r="H17" s="155">
        <f>IF($B17=" ","",IFERROR(INDEX(MMWR_RATING_RO_ROLLUP[],MATCH($B17,MMWR_RATING_RO_ROLLUP[MMWR_RATING_RO_ROLLUP],0),MATCH(H$9,MMWR_RATING_RO_ROLLUP[#Headers],0)),"ERROR"))</f>
        <v>126.1618320611</v>
      </c>
      <c r="I17" s="155">
        <f>IF($B17=" ","",IFERROR(INDEX(MMWR_RATING_RO_ROLLUP[],MATCH($B17,MMWR_RATING_RO_ROLLUP[MMWR_RATING_RO_ROLLUP],0),MATCH(I$9,MMWR_RATING_RO_ROLLUP[#Headers],0)),"ERROR"))</f>
        <v>121.96970873790001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3658</v>
      </c>
      <c r="D18" s="155">
        <f>IF($B18=" ","",IFERROR(INDEX(MMWR_RATING_RO_ROLLUP[],MATCH($B18,MMWR_RATING_RO_ROLLUP[MMWR_RATING_RO_ROLLUP],0),MATCH(D$9,MMWR_RATING_RO_ROLLUP[#Headers],0)),"ERROR"))</f>
        <v>89.739201749599999</v>
      </c>
      <c r="E18" s="156">
        <f>IF($B18=" ","",IFERROR(INDEX(MMWR_RATING_RO_ROLLUP[],MATCH($B18,MMWR_RATING_RO_ROLLUP[MMWR_RATING_RO_ROLLUP],0),MATCH(E$9,MMWR_RATING_RO_ROLLUP[#Headers],0))/$C18,"ERROR"))</f>
        <v>0.19218151995626026</v>
      </c>
      <c r="F18" s="154">
        <f>IF($B18=" ","",IFERROR(INDEX(MMWR_RATING_RO_ROLLUP[],MATCH($B18,MMWR_RATING_RO_ROLLUP[MMWR_RATING_RO_ROLLUP],0),MATCH(F$9,MMWR_RATING_RO_ROLLUP[#Headers],0)),"ERROR"))</f>
        <v>696</v>
      </c>
      <c r="G18" s="154">
        <f>IF($B18=" ","",IFERROR(INDEX(MMWR_RATING_RO_ROLLUP[],MATCH($B18,MMWR_RATING_RO_ROLLUP[MMWR_RATING_RO_ROLLUP],0),MATCH(G$9,MMWR_RATING_RO_ROLLUP[#Headers],0)),"ERROR"))</f>
        <v>2909</v>
      </c>
      <c r="H18" s="155">
        <f>IF($B18=" ","",IFERROR(INDEX(MMWR_RATING_RO_ROLLUP[],MATCH($B18,MMWR_RATING_RO_ROLLUP[MMWR_RATING_RO_ROLLUP],0),MATCH(H$9,MMWR_RATING_RO_ROLLUP[#Headers],0)),"ERROR"))</f>
        <v>143.7327586207</v>
      </c>
      <c r="I18" s="155">
        <f>IF($B18=" ","",IFERROR(INDEX(MMWR_RATING_RO_ROLLUP[],MATCH($B18,MMWR_RATING_RO_ROLLUP[MMWR_RATING_RO_ROLLUP],0),MATCH(I$9,MMWR_RATING_RO_ROLLUP[#Headers],0)),"ERROR"))</f>
        <v>149.20831901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1898</v>
      </c>
      <c r="D19" s="155">
        <f>IF($B19=" ","",IFERROR(INDEX(MMWR_RATING_RO_ROLLUP[],MATCH($B19,MMWR_RATING_RO_ROLLUP[MMWR_RATING_RO_ROLLUP],0),MATCH(D$9,MMWR_RATING_RO_ROLLUP[#Headers],0)),"ERROR"))</f>
        <v>83.605374077999997</v>
      </c>
      <c r="E19" s="156">
        <f>IF($B19=" ","",IFERROR(INDEX(MMWR_RATING_RO_ROLLUP[],MATCH($B19,MMWR_RATING_RO_ROLLUP[MMWR_RATING_RO_ROLLUP],0),MATCH(E$9,MMWR_RATING_RO_ROLLUP[#Headers],0))/$C19,"ERROR"))</f>
        <v>0.16385669125395153</v>
      </c>
      <c r="F19" s="154">
        <f>IF($B19=" ","",IFERROR(INDEX(MMWR_RATING_RO_ROLLUP[],MATCH($B19,MMWR_RATING_RO_ROLLUP[MMWR_RATING_RO_ROLLUP],0),MATCH(F$9,MMWR_RATING_RO_ROLLUP[#Headers],0)),"ERROR"))</f>
        <v>252</v>
      </c>
      <c r="G19" s="154">
        <f>IF($B19=" ","",IFERROR(INDEX(MMWR_RATING_RO_ROLLUP[],MATCH($B19,MMWR_RATING_RO_ROLLUP[MMWR_RATING_RO_ROLLUP],0),MATCH(G$9,MMWR_RATING_RO_ROLLUP[#Headers],0)),"ERROR"))</f>
        <v>1352</v>
      </c>
      <c r="H19" s="155">
        <f>IF($B19=" ","",IFERROR(INDEX(MMWR_RATING_RO_ROLLUP[],MATCH($B19,MMWR_RATING_RO_ROLLUP[MMWR_RATING_RO_ROLLUP],0),MATCH(H$9,MMWR_RATING_RO_ROLLUP[#Headers],0)),"ERROR"))</f>
        <v>120.880952381</v>
      </c>
      <c r="I19" s="155">
        <f>IF($B19=" ","",IFERROR(INDEX(MMWR_RATING_RO_ROLLUP[],MATCH($B19,MMWR_RATING_RO_ROLLUP[MMWR_RATING_RO_ROLLUP],0),MATCH(I$9,MMWR_RATING_RO_ROLLUP[#Headers],0)),"ERROR"))</f>
        <v>113.4334319527</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2518</v>
      </c>
      <c r="D20" s="155">
        <f>IF($B20=" ","",IFERROR(INDEX(MMWR_RATING_RO_ROLLUP[],MATCH($B20,MMWR_RATING_RO_ROLLUP[MMWR_RATING_RO_ROLLUP],0),MATCH(D$9,MMWR_RATING_RO_ROLLUP[#Headers],0)),"ERROR"))</f>
        <v>80.5965051628</v>
      </c>
      <c r="E20" s="156">
        <f>IF($B20=" ","",IFERROR(INDEX(MMWR_RATING_RO_ROLLUP[],MATCH($B20,MMWR_RATING_RO_ROLLUP[MMWR_RATING_RO_ROLLUP],0),MATCH(E$9,MMWR_RATING_RO_ROLLUP[#Headers],0))/$C20,"ERROR"))</f>
        <v>0.13621922160444797</v>
      </c>
      <c r="F20" s="154">
        <f>IF($B20=" ","",IFERROR(INDEX(MMWR_RATING_RO_ROLLUP[],MATCH($B20,MMWR_RATING_RO_ROLLUP[MMWR_RATING_RO_ROLLUP],0),MATCH(F$9,MMWR_RATING_RO_ROLLUP[#Headers],0)),"ERROR"))</f>
        <v>493</v>
      </c>
      <c r="G20" s="154">
        <f>IF($B20=" ","",IFERROR(INDEX(MMWR_RATING_RO_ROLLUP[],MATCH($B20,MMWR_RATING_RO_ROLLUP[MMWR_RATING_RO_ROLLUP],0),MATCH(G$9,MMWR_RATING_RO_ROLLUP[#Headers],0)),"ERROR"))</f>
        <v>1899</v>
      </c>
      <c r="H20" s="155">
        <f>IF($B20=" ","",IFERROR(INDEX(MMWR_RATING_RO_ROLLUP[],MATCH($B20,MMWR_RATING_RO_ROLLUP[MMWR_RATING_RO_ROLLUP],0),MATCH(H$9,MMWR_RATING_RO_ROLLUP[#Headers],0)),"ERROR"))</f>
        <v>119.1379310345</v>
      </c>
      <c r="I20" s="155">
        <f>IF($B20=" ","",IFERROR(INDEX(MMWR_RATING_RO_ROLLUP[],MATCH($B20,MMWR_RATING_RO_ROLLUP[MMWR_RATING_RO_ROLLUP],0),MATCH(I$9,MMWR_RATING_RO_ROLLUP[#Headers],0)),"ERROR"))</f>
        <v>115.6482359136</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1193</v>
      </c>
      <c r="D21" s="155">
        <f>IF($B21=" ","",IFERROR(INDEX(MMWR_RATING_RO_ROLLUP[],MATCH($B21,MMWR_RATING_RO_ROLLUP[MMWR_RATING_RO_ROLLUP],0),MATCH(D$9,MMWR_RATING_RO_ROLLUP[#Headers],0)),"ERROR"))</f>
        <v>94.818943839100001</v>
      </c>
      <c r="E21" s="156">
        <f>IF($B21=" ","",IFERROR(INDEX(MMWR_RATING_RO_ROLLUP[],MATCH($B21,MMWR_RATING_RO_ROLLUP[MMWR_RATING_RO_ROLLUP],0),MATCH(E$9,MMWR_RATING_RO_ROLLUP[#Headers],0))/$C21,"ERROR"))</f>
        <v>0.19782062028499581</v>
      </c>
      <c r="F21" s="154">
        <f>IF($B21=" ","",IFERROR(INDEX(MMWR_RATING_RO_ROLLUP[],MATCH($B21,MMWR_RATING_RO_ROLLUP[MMWR_RATING_RO_ROLLUP],0),MATCH(F$9,MMWR_RATING_RO_ROLLUP[#Headers],0)),"ERROR"))</f>
        <v>291</v>
      </c>
      <c r="G21" s="154">
        <f>IF($B21=" ","",IFERROR(INDEX(MMWR_RATING_RO_ROLLUP[],MATCH($B21,MMWR_RATING_RO_ROLLUP[MMWR_RATING_RO_ROLLUP],0),MATCH(G$9,MMWR_RATING_RO_ROLLUP[#Headers],0)),"ERROR"))</f>
        <v>876</v>
      </c>
      <c r="H21" s="155">
        <f>IF($B21=" ","",IFERROR(INDEX(MMWR_RATING_RO_ROLLUP[],MATCH($B21,MMWR_RATING_RO_ROLLUP[MMWR_RATING_RO_ROLLUP],0),MATCH(H$9,MMWR_RATING_RO_ROLLUP[#Headers],0)),"ERROR"))</f>
        <v>127.63573883159999</v>
      </c>
      <c r="I21" s="155">
        <f>IF($B21=" ","",IFERROR(INDEX(MMWR_RATING_RO_ROLLUP[],MATCH($B21,MMWR_RATING_RO_ROLLUP[MMWR_RATING_RO_ROLLUP],0),MATCH(I$9,MMWR_RATING_RO_ROLLUP[#Headers],0)),"ERROR"))</f>
        <v>129.62899543379999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4896</v>
      </c>
      <c r="D22" s="155">
        <f>IF($B22=" ","",IFERROR(INDEX(MMWR_RATING_RO_ROLLUP[],MATCH($B22,MMWR_RATING_RO_ROLLUP[MMWR_RATING_RO_ROLLUP],0),MATCH(D$9,MMWR_RATING_RO_ROLLUP[#Headers],0)),"ERROR"))</f>
        <v>95.041258169900004</v>
      </c>
      <c r="E22" s="156">
        <f>IF($B22=" ","",IFERROR(INDEX(MMWR_RATING_RO_ROLLUP[],MATCH($B22,MMWR_RATING_RO_ROLLUP[MMWR_RATING_RO_ROLLUP],0),MATCH(E$9,MMWR_RATING_RO_ROLLUP[#Headers],0))/$C22,"ERROR"))</f>
        <v>0.23243464052287582</v>
      </c>
      <c r="F22" s="154">
        <f>IF($B22=" ","",IFERROR(INDEX(MMWR_RATING_RO_ROLLUP[],MATCH($B22,MMWR_RATING_RO_ROLLUP[MMWR_RATING_RO_ROLLUP],0),MATCH(F$9,MMWR_RATING_RO_ROLLUP[#Headers],0)),"ERROR"))</f>
        <v>755</v>
      </c>
      <c r="G22" s="154">
        <f>IF($B22=" ","",IFERROR(INDEX(MMWR_RATING_RO_ROLLUP[],MATCH($B22,MMWR_RATING_RO_ROLLUP[MMWR_RATING_RO_ROLLUP],0),MATCH(G$9,MMWR_RATING_RO_ROLLUP[#Headers],0)),"ERROR"))</f>
        <v>3000</v>
      </c>
      <c r="H22" s="155">
        <f>IF($B22=" ","",IFERROR(INDEX(MMWR_RATING_RO_ROLLUP[],MATCH($B22,MMWR_RATING_RO_ROLLUP[MMWR_RATING_RO_ROLLUP],0),MATCH(H$9,MMWR_RATING_RO_ROLLUP[#Headers],0)),"ERROR"))</f>
        <v>144.9920529801</v>
      </c>
      <c r="I22" s="155">
        <f>IF($B22=" ","",IFERROR(INDEX(MMWR_RATING_RO_ROLLUP[],MATCH($B22,MMWR_RATING_RO_ROLLUP[MMWR_RATING_RO_ROLLUP],0),MATCH(I$9,MMWR_RATING_RO_ROLLUP[#Headers],0)),"ERROR"))</f>
        <v>140.78733333330001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2761</v>
      </c>
      <c r="D23" s="155">
        <f>IF($B23=" ","",IFERROR(INDEX(MMWR_RATING_RO_ROLLUP[],MATCH($B23,MMWR_RATING_RO_ROLLUP[MMWR_RATING_RO_ROLLUP],0),MATCH(D$9,MMWR_RATING_RO_ROLLUP[#Headers],0)),"ERROR"))</f>
        <v>82.780514306399994</v>
      </c>
      <c r="E23" s="156">
        <f>IF($B23=" ","",IFERROR(INDEX(MMWR_RATING_RO_ROLLUP[],MATCH($B23,MMWR_RATING_RO_ROLLUP[MMWR_RATING_RO_ROLLUP],0),MATCH(E$9,MMWR_RATING_RO_ROLLUP[#Headers],0))/$C23,"ERROR"))</f>
        <v>0.16914161535675479</v>
      </c>
      <c r="F23" s="154">
        <f>IF($B23=" ","",IFERROR(INDEX(MMWR_RATING_RO_ROLLUP[],MATCH($B23,MMWR_RATING_RO_ROLLUP[MMWR_RATING_RO_ROLLUP],0),MATCH(F$9,MMWR_RATING_RO_ROLLUP[#Headers],0)),"ERROR"))</f>
        <v>361</v>
      </c>
      <c r="G23" s="154">
        <f>IF($B23=" ","",IFERROR(INDEX(MMWR_RATING_RO_ROLLUP[],MATCH($B23,MMWR_RATING_RO_ROLLUP[MMWR_RATING_RO_ROLLUP],0),MATCH(G$9,MMWR_RATING_RO_ROLLUP[#Headers],0)),"ERROR"))</f>
        <v>1814</v>
      </c>
      <c r="H23" s="155">
        <f>IF($B23=" ","",IFERROR(INDEX(MMWR_RATING_RO_ROLLUP[],MATCH($B23,MMWR_RATING_RO_ROLLUP[MMWR_RATING_RO_ROLLUP],0),MATCH(H$9,MMWR_RATING_RO_ROLLUP[#Headers],0)),"ERROR"))</f>
        <v>160.37673130190001</v>
      </c>
      <c r="I23" s="155">
        <f>IF($B23=" ","",IFERROR(INDEX(MMWR_RATING_RO_ROLLUP[],MATCH($B23,MMWR_RATING_RO_ROLLUP[MMWR_RATING_RO_ROLLUP],0),MATCH(I$9,MMWR_RATING_RO_ROLLUP[#Headers],0)),"ERROR"))</f>
        <v>144.2905181918</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7594</v>
      </c>
      <c r="D24" s="155">
        <f>IF($B24=" ","",IFERROR(INDEX(MMWR_RATING_RO_ROLLUP[],MATCH($B24,MMWR_RATING_RO_ROLLUP[MMWR_RATING_RO_ROLLUP],0),MATCH(D$9,MMWR_RATING_RO_ROLLUP[#Headers],0)),"ERROR"))</f>
        <v>109.44390308139999</v>
      </c>
      <c r="E24" s="156">
        <f>IF($B24=" ","",IFERROR(INDEX(MMWR_RATING_RO_ROLLUP[],MATCH($B24,MMWR_RATING_RO_ROLLUP[MMWR_RATING_RO_ROLLUP],0),MATCH(E$9,MMWR_RATING_RO_ROLLUP[#Headers],0))/$C24,"ERROR"))</f>
        <v>0.28127469054516724</v>
      </c>
      <c r="F24" s="154">
        <f>IF($B24=" ","",IFERROR(INDEX(MMWR_RATING_RO_ROLLUP[],MATCH($B24,MMWR_RATING_RO_ROLLUP[MMWR_RATING_RO_ROLLUP],0),MATCH(F$9,MMWR_RATING_RO_ROLLUP[#Headers],0)),"ERROR"))</f>
        <v>1443</v>
      </c>
      <c r="G24" s="154">
        <f>IF($B24=" ","",IFERROR(INDEX(MMWR_RATING_RO_ROLLUP[],MATCH($B24,MMWR_RATING_RO_ROLLUP[MMWR_RATING_RO_ROLLUP],0),MATCH(G$9,MMWR_RATING_RO_ROLLUP[#Headers],0)),"ERROR"))</f>
        <v>5457</v>
      </c>
      <c r="H24" s="155">
        <f>IF($B24=" ","",IFERROR(INDEX(MMWR_RATING_RO_ROLLUP[],MATCH($B24,MMWR_RATING_RO_ROLLUP[MMWR_RATING_RO_ROLLUP],0),MATCH(H$9,MMWR_RATING_RO_ROLLUP[#Headers],0)),"ERROR"))</f>
        <v>150.95426195429999</v>
      </c>
      <c r="I24" s="155">
        <f>IF($B24=" ","",IFERROR(INDEX(MMWR_RATING_RO_ROLLUP[],MATCH($B24,MMWR_RATING_RO_ROLLUP[MMWR_RATING_RO_ROLLUP],0),MATCH(I$9,MMWR_RATING_RO_ROLLUP[#Headers],0)),"ERROR"))</f>
        <v>157.35019241340001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4936</v>
      </c>
      <c r="D25" s="155">
        <f>IF($B25=" ","",IFERROR(INDEX(MMWR_RATING_RO_ROLLUP[],MATCH($B25,MMWR_RATING_RO_ROLLUP[MMWR_RATING_RO_ROLLUP],0),MATCH(D$9,MMWR_RATING_RO_ROLLUP[#Headers],0)),"ERROR"))</f>
        <v>110.07333873579999</v>
      </c>
      <c r="E25" s="156">
        <f>IF($B25=" ","",IFERROR(INDEX(MMWR_RATING_RO_ROLLUP[],MATCH($B25,MMWR_RATING_RO_ROLLUP[MMWR_RATING_RO_ROLLUP],0),MATCH(E$9,MMWR_RATING_RO_ROLLUP[#Headers],0))/$C25,"ERROR"))</f>
        <v>0.28646677471636955</v>
      </c>
      <c r="F25" s="154">
        <f>IF($B25=" ","",IFERROR(INDEX(MMWR_RATING_RO_ROLLUP[],MATCH($B25,MMWR_RATING_RO_ROLLUP[MMWR_RATING_RO_ROLLUP],0),MATCH(F$9,MMWR_RATING_RO_ROLLUP[#Headers],0)),"ERROR"))</f>
        <v>728</v>
      </c>
      <c r="G25" s="154">
        <f>IF($B25=" ","",IFERROR(INDEX(MMWR_RATING_RO_ROLLUP[],MATCH($B25,MMWR_RATING_RO_ROLLUP[MMWR_RATING_RO_ROLLUP],0),MATCH(G$9,MMWR_RATING_RO_ROLLUP[#Headers],0)),"ERROR"))</f>
        <v>2972</v>
      </c>
      <c r="H25" s="155">
        <f>IF($B25=" ","",IFERROR(INDEX(MMWR_RATING_RO_ROLLUP[],MATCH($B25,MMWR_RATING_RO_ROLLUP[MMWR_RATING_RO_ROLLUP],0),MATCH(H$9,MMWR_RATING_RO_ROLLUP[#Headers],0)),"ERROR"))</f>
        <v>168.97527472530001</v>
      </c>
      <c r="I25" s="155">
        <f>IF($B25=" ","",IFERROR(INDEX(MMWR_RATING_RO_ROLLUP[],MATCH($B25,MMWR_RATING_RO_ROLLUP[MMWR_RATING_RO_ROLLUP],0),MATCH(I$9,MMWR_RATING_RO_ROLLUP[#Headers],0)),"ERROR"))</f>
        <v>164.2025572005</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2444</v>
      </c>
      <c r="D26" s="155">
        <f>IF($B26=" ","",IFERROR(INDEX(MMWR_RATING_RO_ROLLUP[],MATCH($B26,MMWR_RATING_RO_ROLLUP[MMWR_RATING_RO_ROLLUP],0),MATCH(D$9,MMWR_RATING_RO_ROLLUP[#Headers],0)),"ERROR"))</f>
        <v>76.1219312602</v>
      </c>
      <c r="E26" s="156">
        <f>IF($B26=" ","",IFERROR(INDEX(MMWR_RATING_RO_ROLLUP[],MATCH($B26,MMWR_RATING_RO_ROLLUP[MMWR_RATING_RO_ROLLUP],0),MATCH(E$9,MMWR_RATING_RO_ROLLUP[#Headers],0))/$C26,"ERROR"))</f>
        <v>0.15384615384615385</v>
      </c>
      <c r="F26" s="154">
        <f>IF($B26=" ","",IFERROR(INDEX(MMWR_RATING_RO_ROLLUP[],MATCH($B26,MMWR_RATING_RO_ROLLUP[MMWR_RATING_RO_ROLLUP],0),MATCH(F$9,MMWR_RATING_RO_ROLLUP[#Headers],0)),"ERROR"))</f>
        <v>1132</v>
      </c>
      <c r="G26" s="154">
        <f>IF($B26=" ","",IFERROR(INDEX(MMWR_RATING_RO_ROLLUP[],MATCH($B26,MMWR_RATING_RO_ROLLUP[MMWR_RATING_RO_ROLLUP],0),MATCH(G$9,MMWR_RATING_RO_ROLLUP[#Headers],0)),"ERROR"))</f>
        <v>4367</v>
      </c>
      <c r="H26" s="155">
        <f>IF($B26=" ","",IFERROR(INDEX(MMWR_RATING_RO_ROLLUP[],MATCH($B26,MMWR_RATING_RO_ROLLUP[MMWR_RATING_RO_ROLLUP],0),MATCH(H$9,MMWR_RATING_RO_ROLLUP[#Headers],0)),"ERROR"))</f>
        <v>56.441696113100001</v>
      </c>
      <c r="I26" s="155">
        <f>IF($B26=" ","",IFERROR(INDEX(MMWR_RATING_RO_ROLLUP[],MATCH($B26,MMWR_RATING_RO_ROLLUP[MMWR_RATING_RO_ROLLUP],0),MATCH(I$9,MMWR_RATING_RO_ROLLUP[#Headers],0)),"ERROR"))</f>
        <v>52.051064804200003</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11119</v>
      </c>
      <c r="D27" s="155">
        <f>IF($B27=" ","",IFERROR(INDEX(MMWR_RATING_RO_ROLLUP[],MATCH($B27,MMWR_RATING_RO_ROLLUP[MMWR_RATING_RO_ROLLUP],0),MATCH(D$9,MMWR_RATING_RO_ROLLUP[#Headers],0)),"ERROR"))</f>
        <v>87.865185718099994</v>
      </c>
      <c r="E27" s="156">
        <f>IF($B27=" ","",IFERROR(INDEX(MMWR_RATING_RO_ROLLUP[],MATCH($B27,MMWR_RATING_RO_ROLLUP[MMWR_RATING_RO_ROLLUP],0),MATCH(E$9,MMWR_RATING_RO_ROLLUP[#Headers],0))/$C27,"ERROR"))</f>
        <v>0.18140120514434752</v>
      </c>
      <c r="F27" s="154">
        <f>IF($B27=" ","",IFERROR(INDEX(MMWR_RATING_RO_ROLLUP[],MATCH($B27,MMWR_RATING_RO_ROLLUP[MMWR_RATING_RO_ROLLUP],0),MATCH(F$9,MMWR_RATING_RO_ROLLUP[#Headers],0)),"ERROR"))</f>
        <v>1628</v>
      </c>
      <c r="G27" s="154">
        <f>IF($B27=" ","",IFERROR(INDEX(MMWR_RATING_RO_ROLLUP[],MATCH($B27,MMWR_RATING_RO_ROLLUP[MMWR_RATING_RO_ROLLUP],0),MATCH(G$9,MMWR_RATING_RO_ROLLUP[#Headers],0)),"ERROR"))</f>
        <v>6754</v>
      </c>
      <c r="H27" s="155">
        <f>IF($B27=" ","",IFERROR(INDEX(MMWR_RATING_RO_ROLLUP[],MATCH($B27,MMWR_RATING_RO_ROLLUP[MMWR_RATING_RO_ROLLUP],0),MATCH(H$9,MMWR_RATING_RO_ROLLUP[#Headers],0)),"ERROR"))</f>
        <v>154.41216216219999</v>
      </c>
      <c r="I27" s="155">
        <f>IF($B27=" ","",IFERROR(INDEX(MMWR_RATING_RO_ROLLUP[],MATCH($B27,MMWR_RATING_RO_ROLLUP[MMWR_RATING_RO_ROLLUP],0),MATCH(I$9,MMWR_RATING_RO_ROLLUP[#Headers],0)),"ERROR"))</f>
        <v>146.19529167900001</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1226</v>
      </c>
      <c r="D28" s="155">
        <f>IF($B28=" ","",IFERROR(INDEX(MMWR_RATING_RO_ROLLUP[],MATCH($B28,MMWR_RATING_RO_ROLLUP[MMWR_RATING_RO_ROLLUP],0),MATCH(D$9,MMWR_RATING_RO_ROLLUP[#Headers],0)),"ERROR"))</f>
        <v>71.402120717800003</v>
      </c>
      <c r="E28" s="156">
        <f>IF($B28=" ","",IFERROR(INDEX(MMWR_RATING_RO_ROLLUP[],MATCH($B28,MMWR_RATING_RO_ROLLUP[MMWR_RATING_RO_ROLLUP],0),MATCH(E$9,MMWR_RATING_RO_ROLLUP[#Headers],0))/$C28,"ERROR"))</f>
        <v>0.11745513866231648</v>
      </c>
      <c r="F28" s="154">
        <f>IF($B28=" ","",IFERROR(INDEX(MMWR_RATING_RO_ROLLUP[],MATCH($B28,MMWR_RATING_RO_ROLLUP[MMWR_RATING_RO_ROLLUP],0),MATCH(F$9,MMWR_RATING_RO_ROLLUP[#Headers],0)),"ERROR"))</f>
        <v>252</v>
      </c>
      <c r="G28" s="154">
        <f>IF($B28=" ","",IFERROR(INDEX(MMWR_RATING_RO_ROLLUP[],MATCH($B28,MMWR_RATING_RO_ROLLUP[MMWR_RATING_RO_ROLLUP],0),MATCH(G$9,MMWR_RATING_RO_ROLLUP[#Headers],0)),"ERROR"))</f>
        <v>1093</v>
      </c>
      <c r="H28" s="155">
        <f>IF($B28=" ","",IFERROR(INDEX(MMWR_RATING_RO_ROLLUP[],MATCH($B28,MMWR_RATING_RO_ROLLUP[MMWR_RATING_RO_ROLLUP],0),MATCH(H$9,MMWR_RATING_RO_ROLLUP[#Headers],0)),"ERROR"))</f>
        <v>103.4087301587</v>
      </c>
      <c r="I28" s="155">
        <f>IF($B28=" ","",IFERROR(INDEX(MMWR_RATING_RO_ROLLUP[],MATCH($B28,MMWR_RATING_RO_ROLLUP[MMWR_RATING_RO_ROLLUP],0),MATCH(I$9,MMWR_RATING_RO_ROLLUP[#Headers],0)),"ERROR"))</f>
        <v>106.27996340350001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564</v>
      </c>
      <c r="D29" s="155">
        <f>IF($B29=" ","",IFERROR(INDEX(MMWR_RATING_RO_ROLLUP[],MATCH($B29,MMWR_RATING_RO_ROLLUP[MMWR_RATING_RO_ROLLUP],0),MATCH(D$9,MMWR_RATING_RO_ROLLUP[#Headers],0)),"ERROR"))</f>
        <v>90.952127659599995</v>
      </c>
      <c r="E29" s="156">
        <f>IF($B29=" ","",IFERROR(INDEX(MMWR_RATING_RO_ROLLUP[],MATCH($B29,MMWR_RATING_RO_ROLLUP[MMWR_RATING_RO_ROLLUP],0),MATCH(E$9,MMWR_RATING_RO_ROLLUP[#Headers],0))/$C29,"ERROR"))</f>
        <v>0.22340425531914893</v>
      </c>
      <c r="F29" s="154">
        <f>IF($B29=" ","",IFERROR(INDEX(MMWR_RATING_RO_ROLLUP[],MATCH($B29,MMWR_RATING_RO_ROLLUP[MMWR_RATING_RO_ROLLUP],0),MATCH(F$9,MMWR_RATING_RO_ROLLUP[#Headers],0)),"ERROR"))</f>
        <v>71</v>
      </c>
      <c r="G29" s="154">
        <f>IF($B29=" ","",IFERROR(INDEX(MMWR_RATING_RO_ROLLUP[],MATCH($B29,MMWR_RATING_RO_ROLLUP[MMWR_RATING_RO_ROLLUP],0),MATCH(G$9,MMWR_RATING_RO_ROLLUP[#Headers],0)),"ERROR"))</f>
        <v>193</v>
      </c>
      <c r="H29" s="155">
        <f>IF($B29=" ","",IFERROR(INDEX(MMWR_RATING_RO_ROLLUP[],MATCH($B29,MMWR_RATING_RO_ROLLUP[MMWR_RATING_RO_ROLLUP],0),MATCH(H$9,MMWR_RATING_RO_ROLLUP[#Headers],0)),"ERROR"))</f>
        <v>152.54929577460001</v>
      </c>
      <c r="I29" s="155">
        <f>IF($B29=" ","",IFERROR(INDEX(MMWR_RATING_RO_ROLLUP[],MATCH($B29,MMWR_RATING_RO_ROLLUP[MMWR_RATING_RO_ROLLUP],0),MATCH(I$9,MMWR_RATING_RO_ROLLUP[#Headers],0)),"ERROR"))</f>
        <v>137.19170984460001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727</v>
      </c>
      <c r="D30" s="155">
        <f>IF($B30=" ","",IFERROR(INDEX(MMWR_RATING_RO_ROLLUP[],MATCH($B30,MMWR_RATING_RO_ROLLUP[MMWR_RATING_RO_ROLLUP],0),MATCH(D$9,MMWR_RATING_RO_ROLLUP[#Headers],0)),"ERROR"))</f>
        <v>106.7455295736</v>
      </c>
      <c r="E30" s="156">
        <f>IF($B30=" ","",IFERROR(INDEX(MMWR_RATING_RO_ROLLUP[],MATCH($B30,MMWR_RATING_RO_ROLLUP[MMWR_RATING_RO_ROLLUP],0),MATCH(E$9,MMWR_RATING_RO_ROLLUP[#Headers],0))/$C30,"ERROR"))</f>
        <v>0.30261348005502064</v>
      </c>
      <c r="F30" s="154">
        <f>IF($B30=" ","",IFERROR(INDEX(MMWR_RATING_RO_ROLLUP[],MATCH($B30,MMWR_RATING_RO_ROLLUP[MMWR_RATING_RO_ROLLUP],0),MATCH(F$9,MMWR_RATING_RO_ROLLUP[#Headers],0)),"ERROR"))</f>
        <v>130</v>
      </c>
      <c r="G30" s="154">
        <f>IF($B30=" ","",IFERROR(INDEX(MMWR_RATING_RO_ROLLUP[],MATCH($B30,MMWR_RATING_RO_ROLLUP[MMWR_RATING_RO_ROLLUP],0),MATCH(G$9,MMWR_RATING_RO_ROLLUP[#Headers],0)),"ERROR"))</f>
        <v>546</v>
      </c>
      <c r="H30" s="155">
        <f>IF($B30=" ","",IFERROR(INDEX(MMWR_RATING_RO_ROLLUP[],MATCH($B30,MMWR_RATING_RO_ROLLUP[MMWR_RATING_RO_ROLLUP],0),MATCH(H$9,MMWR_RATING_RO_ROLLUP[#Headers],0)),"ERROR"))</f>
        <v>141.4846153846</v>
      </c>
      <c r="I30" s="155">
        <f>IF($B30=" ","",IFERROR(INDEX(MMWR_RATING_RO_ROLLUP[],MATCH($B30,MMWR_RATING_RO_ROLLUP[MMWR_RATING_RO_ROLLUP],0),MATCH(I$9,MMWR_RATING_RO_ROLLUP[#Headers],0)),"ERROR"))</f>
        <v>139.20146520150001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17025</v>
      </c>
      <c r="D31" s="155">
        <f>IF($B31=" ","",IFERROR(INDEX(MMWR_RATING_RO_ROLLUP[],MATCH($B31,MMWR_RATING_RO_ROLLUP[MMWR_RATING_RO_ROLLUP],0),MATCH(D$9,MMWR_RATING_RO_ROLLUP[#Headers],0)),"ERROR"))</f>
        <v>98.573627019100002</v>
      </c>
      <c r="E31" s="156">
        <f>IF($B31=" ","",IFERROR(INDEX(MMWR_RATING_RO_ROLLUP[],MATCH($B31,MMWR_RATING_RO_ROLLUP[MMWR_RATING_RO_ROLLUP],0),MATCH(E$9,MMWR_RATING_RO_ROLLUP[#Headers],0))/$C31,"ERROR"))</f>
        <v>0.24857562408223202</v>
      </c>
      <c r="F31" s="154">
        <f>IF($B31=" ","",IFERROR(INDEX(MMWR_RATING_RO_ROLLUP[],MATCH($B31,MMWR_RATING_RO_ROLLUP[MMWR_RATING_RO_ROLLUP],0),MATCH(F$9,MMWR_RATING_RO_ROLLUP[#Headers],0)),"ERROR"))</f>
        <v>3067</v>
      </c>
      <c r="G31" s="154">
        <f>IF($B31=" ","",IFERROR(INDEX(MMWR_RATING_RO_ROLLUP[],MATCH($B31,MMWR_RATING_RO_ROLLUP[MMWR_RATING_RO_ROLLUP],0),MATCH(G$9,MMWR_RATING_RO_ROLLUP[#Headers],0)),"ERROR"))</f>
        <v>11732</v>
      </c>
      <c r="H31" s="155">
        <f>IF($B31=" ","",IFERROR(INDEX(MMWR_RATING_RO_ROLLUP[],MATCH($B31,MMWR_RATING_RO_ROLLUP[MMWR_RATING_RO_ROLLUP],0),MATCH(H$9,MMWR_RATING_RO_ROLLUP[#Headers],0)),"ERROR"))</f>
        <v>144.56406912290001</v>
      </c>
      <c r="I31" s="155">
        <f>IF($B31=" ","",IFERROR(INDEX(MMWR_RATING_RO_ROLLUP[],MATCH($B31,MMWR_RATING_RO_ROLLUP[MMWR_RATING_RO_ROLLUP],0),MATCH(I$9,MMWR_RATING_RO_ROLLUP[#Headers],0)),"ERROR"))</f>
        <v>149.28307194000001</v>
      </c>
      <c r="J31" s="42"/>
      <c r="K31" s="42"/>
      <c r="L31" s="42"/>
      <c r="M31" s="42"/>
      <c r="N31" s="28"/>
    </row>
    <row r="32" spans="1:14" x14ac:dyDescent="0.2">
      <c r="A32" s="25"/>
      <c r="B32" s="357" t="s">
        <v>733</v>
      </c>
      <c r="C32" s="358"/>
      <c r="D32" s="358"/>
      <c r="E32" s="358"/>
      <c r="F32" s="358"/>
      <c r="G32" s="358"/>
      <c r="H32" s="358"/>
      <c r="I32" s="358"/>
      <c r="J32" s="358"/>
      <c r="K32" s="358"/>
      <c r="L32" s="358"/>
      <c r="M32" s="408"/>
      <c r="N32" s="28"/>
    </row>
    <row r="33" spans="1:14" x14ac:dyDescent="0.2">
      <c r="A33" s="25"/>
      <c r="B33" s="11" t="s">
        <v>696</v>
      </c>
      <c r="C33" s="154">
        <f>IF($B33=" ","",IFERROR(INDEX(MMWR_RATING_RO_ROLLUP[],MATCH($B33,MMWR_RATING_RO_ROLLUP[MMWR_RATING_RO_ROLLUP],0),MATCH(C$9,MMWR_RATING_RO_ROLLUP[#Headers],0)),"ERROR"))</f>
        <v>26569</v>
      </c>
      <c r="D33" s="155">
        <f>IF($B33=" ","",IFERROR(INDEX(MMWR_RATING_RO_ROLLUP[],MATCH($B33,MMWR_RATING_RO_ROLLUP[MMWR_RATING_RO_ROLLUP],0),MATCH(D$9,MMWR_RATING_RO_ROLLUP[#Headers],0)),"ERROR"))</f>
        <v>63.969739169699999</v>
      </c>
      <c r="E33" s="156">
        <f>IF($B33=" ","",IFERROR(INDEX(MMWR_RATING_RO_ROLLUP[],MATCH($B33,MMWR_RATING_RO_ROLLUP[MMWR_RATING_RO_ROLLUP],0),MATCH(E$9,MMWR_RATING_RO_ROLLUP[#Headers],0))/$C33,"ERROR"))</f>
        <v>8.7056343859385002E-2</v>
      </c>
      <c r="F33" s="154">
        <f>IF($B33=" ","",IFERROR(INDEX(MMWR_RATING_RO_ROLLUP[],MATCH($B33,MMWR_RATING_RO_ROLLUP[MMWR_RATING_RO_ROLLUP],0),MATCH(F$9,MMWR_RATING_RO_ROLLUP[#Headers],0)),"ERROR"))</f>
        <v>8191</v>
      </c>
      <c r="G33" s="154">
        <f>IF($B33=" ","",IFERROR(INDEX(MMWR_RATING_RO_ROLLUP[],MATCH($B33,MMWR_RATING_RO_ROLLUP[MMWR_RATING_RO_ROLLUP],0),MATCH(G$9,MMWR_RATING_RO_ROLLUP[#Headers],0)),"ERROR"))</f>
        <v>31743</v>
      </c>
      <c r="H33" s="155">
        <f>IF($B33=" ","",IFERROR(INDEX(MMWR_RATING_RO_ROLLUP[],MATCH($B33,MMWR_RATING_RO_ROLLUP[MMWR_RATING_RO_ROLLUP],0),MATCH(H$9,MMWR_RATING_RO_ROLLUP[#Headers],0)),"ERROR"))</f>
        <v>75.407032108400003</v>
      </c>
      <c r="I33" s="155">
        <f>IF($B33=" ","",IFERROR(INDEX(MMWR_RATING_RO_ROLLUP[],MATCH($B33,MMWR_RATING_RO_ROLLUP[MMWR_RATING_RO_ROLLUP],0),MATCH(I$9,MMWR_RATING_RO_ROLLUP[#Headers],0)),"ERROR"))</f>
        <v>71.025611945899996</v>
      </c>
      <c r="J33" s="42"/>
      <c r="K33" s="42"/>
      <c r="L33" s="42"/>
      <c r="M33" s="42"/>
      <c r="N33" s="28"/>
    </row>
    <row r="34" spans="1:14" x14ac:dyDescent="0.2">
      <c r="A34" s="25"/>
      <c r="B34" s="12" t="s">
        <v>213</v>
      </c>
      <c r="C34" s="154">
        <f>IF($B34=" ","",IFERROR(INDEX(MMWR_RATING_RO_ROLLUP[],MATCH($B34,MMWR_RATING_RO_ROLLUP[MMWR_RATING_RO_ROLLUP],0),MATCH(C$9,MMWR_RATING_RO_ROLLUP[#Headers],0)),"ERROR"))</f>
        <v>11522</v>
      </c>
      <c r="D34" s="155">
        <f>IF($B34=" ","",IFERROR(INDEX(MMWR_RATING_RO_ROLLUP[],MATCH($B34,MMWR_RATING_RO_ROLLUP[MMWR_RATING_RO_ROLLUP],0),MATCH(D$9,MMWR_RATING_RO_ROLLUP[#Headers],0)),"ERROR"))</f>
        <v>62.957733032500002</v>
      </c>
      <c r="E34" s="156">
        <f>IF($B34=" ","",IFERROR(INDEX(MMWR_RATING_RO_ROLLUP[],MATCH($B34,MMWR_RATING_RO_ROLLUP[MMWR_RATING_RO_ROLLUP],0),MATCH(E$9,MMWR_RATING_RO_ROLLUP[#Headers],0))/$C34,"ERROR"))</f>
        <v>8.2798125325464322E-2</v>
      </c>
      <c r="F34" s="154">
        <f>IF($B34=" ","",IFERROR(INDEX(MMWR_RATING_RO_ROLLUP[],MATCH($B34,MMWR_RATING_RO_ROLLUP[MMWR_RATING_RO_ROLLUP],0),MATCH(F$9,MMWR_RATING_RO_ROLLUP[#Headers],0)),"ERROR"))</f>
        <v>2696</v>
      </c>
      <c r="G34" s="154">
        <f>IF($B34=" ","",IFERROR(INDEX(MMWR_RATING_RO_ROLLUP[],MATCH($B34,MMWR_RATING_RO_ROLLUP[MMWR_RATING_RO_ROLLUP],0),MATCH(G$9,MMWR_RATING_RO_ROLLUP[#Headers],0)),"ERROR"))</f>
        <v>9963</v>
      </c>
      <c r="H34" s="155">
        <f>IF($B34=" ","",IFERROR(INDEX(MMWR_RATING_RO_ROLLUP[],MATCH($B34,MMWR_RATING_RO_ROLLUP[MMWR_RATING_RO_ROLLUP],0),MATCH(H$9,MMWR_RATING_RO_ROLLUP[#Headers],0)),"ERROR"))</f>
        <v>86.040801186899998</v>
      </c>
      <c r="I34" s="155">
        <f>IF($B34=" ","",IFERROR(INDEX(MMWR_RATING_RO_ROLLUP[],MATCH($B34,MMWR_RATING_RO_ROLLUP[MMWR_RATING_RO_ROLLUP],0),MATCH(I$9,MMWR_RATING_RO_ROLLUP[#Headers],0)),"ERROR"))</f>
        <v>82.7457593094</v>
      </c>
      <c r="J34" s="42"/>
      <c r="K34" s="42"/>
      <c r="L34" s="42"/>
      <c r="M34" s="42"/>
      <c r="N34" s="28"/>
    </row>
    <row r="35" spans="1:14" x14ac:dyDescent="0.2">
      <c r="A35" s="43"/>
      <c r="B35" s="12" t="s">
        <v>212</v>
      </c>
      <c r="C35" s="154">
        <f>IF($B35=" ","",IFERROR(INDEX(MMWR_RATING_RO_ROLLUP[],MATCH($B35,MMWR_RATING_RO_ROLLUP[MMWR_RATING_RO_ROLLUP],0),MATCH(C$9,MMWR_RATING_RO_ROLLUP[#Headers],0)),"ERROR"))</f>
        <v>6878</v>
      </c>
      <c r="D35" s="155">
        <f>IF($B35=" ","",IFERROR(INDEX(MMWR_RATING_RO_ROLLUP[],MATCH($B35,MMWR_RATING_RO_ROLLUP[MMWR_RATING_RO_ROLLUP],0),MATCH(D$9,MMWR_RATING_RO_ROLLUP[#Headers],0)),"ERROR"))</f>
        <v>64.770863623099999</v>
      </c>
      <c r="E35" s="156">
        <f>IF($B35=" ","",IFERROR(INDEX(MMWR_RATING_RO_ROLLUP[],MATCH($B35,MMWR_RATING_RO_ROLLUP[MMWR_RATING_RO_ROLLUP],0),MATCH(E$9,MMWR_RATING_RO_ROLLUP[#Headers],0))/$C35,"ERROR"))</f>
        <v>8.6216923524280314E-2</v>
      </c>
      <c r="F35" s="154">
        <f>IF($B35=" ","",IFERROR(INDEX(MMWR_RATING_RO_ROLLUP[],MATCH($B35,MMWR_RATING_RO_ROLLUP[MMWR_RATING_RO_ROLLUP],0),MATCH(F$9,MMWR_RATING_RO_ROLLUP[#Headers],0)),"ERROR"))</f>
        <v>2392</v>
      </c>
      <c r="G35" s="154">
        <f>IF($B35=" ","",IFERROR(INDEX(MMWR_RATING_RO_ROLLUP[],MATCH($B35,MMWR_RATING_RO_ROLLUP[MMWR_RATING_RO_ROLLUP],0),MATCH(G$9,MMWR_RATING_RO_ROLLUP[#Headers],0)),"ERROR"))</f>
        <v>8694</v>
      </c>
      <c r="H35" s="155">
        <f>IF($B35=" ","",IFERROR(INDEX(MMWR_RATING_RO_ROLLUP[],MATCH($B35,MMWR_RATING_RO_ROLLUP[MMWR_RATING_RO_ROLLUP],0),MATCH(H$9,MMWR_RATING_RO_ROLLUP[#Headers],0)),"ERROR"))</f>
        <v>74.124163879600005</v>
      </c>
      <c r="I35" s="155">
        <f>IF($B35=" ","",IFERROR(INDEX(MMWR_RATING_RO_ROLLUP[],MATCH($B35,MMWR_RATING_RO_ROLLUP[MMWR_RATING_RO_ROLLUP],0),MATCH(I$9,MMWR_RATING_RO_ROLLUP[#Headers],0)),"ERROR"))</f>
        <v>68.060961582700003</v>
      </c>
      <c r="J35" s="42"/>
      <c r="K35" s="42"/>
      <c r="L35" s="42"/>
      <c r="M35" s="42"/>
      <c r="N35" s="28"/>
    </row>
    <row r="36" spans="1:14" x14ac:dyDescent="0.2">
      <c r="A36" s="25"/>
      <c r="B36" s="12" t="s">
        <v>215</v>
      </c>
      <c r="C36" s="154">
        <f>IF($B36=" ","",IFERROR(INDEX(MMWR_RATING_RO_ROLLUP[],MATCH($B36,MMWR_RATING_RO_ROLLUP[MMWR_RATING_RO_ROLLUP],0),MATCH(C$9,MMWR_RATING_RO_ROLLUP[#Headers],0)),"ERROR"))</f>
        <v>7547</v>
      </c>
      <c r="D36" s="155">
        <f>IF($B36=" ","",IFERROR(INDEX(MMWR_RATING_RO_ROLLUP[],MATCH($B36,MMWR_RATING_RO_ROLLUP[MMWR_RATING_RO_ROLLUP],0),MATCH(D$9,MMWR_RATING_RO_ROLLUP[#Headers],0)),"ERROR"))</f>
        <v>56.172253875700001</v>
      </c>
      <c r="E36" s="156">
        <f>IF($B36=" ","",IFERROR(INDEX(MMWR_RATING_RO_ROLLUP[],MATCH($B36,MMWR_RATING_RO_ROLLUP[MMWR_RATING_RO_ROLLUP],0),MATCH(E$9,MMWR_RATING_RO_ROLLUP[#Headers],0))/$C36,"ERROR"))</f>
        <v>6.4263945938783623E-2</v>
      </c>
      <c r="F36" s="154">
        <f>IF($B36=" ","",IFERROR(INDEX(MMWR_RATING_RO_ROLLUP[],MATCH($B36,MMWR_RATING_RO_ROLLUP[MMWR_RATING_RO_ROLLUP],0),MATCH(F$9,MMWR_RATING_RO_ROLLUP[#Headers],0)),"ERROR"))</f>
        <v>2841</v>
      </c>
      <c r="G36" s="154">
        <f>IF($B36=" ","",IFERROR(INDEX(MMWR_RATING_RO_ROLLUP[],MATCH($B36,MMWR_RATING_RO_ROLLUP[MMWR_RATING_RO_ROLLUP],0),MATCH(G$9,MMWR_RATING_RO_ROLLUP[#Headers],0)),"ERROR"))</f>
        <v>11952</v>
      </c>
      <c r="H36" s="155">
        <f>IF($B36=" ","",IFERROR(INDEX(MMWR_RATING_RO_ROLLUP[],MATCH($B36,MMWR_RATING_RO_ROLLUP[MMWR_RATING_RO_ROLLUP],0),MATCH(H$9,MMWR_RATING_RO_ROLLUP[#Headers],0)),"ERROR"))</f>
        <v>68.300598380899999</v>
      </c>
      <c r="I36" s="155">
        <f>IF($B36=" ","",IFERROR(INDEX(MMWR_RATING_RO_ROLLUP[],MATCH($B36,MMWR_RATING_RO_ROLLUP[MMWR_RATING_RO_ROLLUP],0),MATCH(I$9,MMWR_RATING_RO_ROLLUP[#Headers],0)),"ERROR"))</f>
        <v>65.242637215499997</v>
      </c>
      <c r="J36" s="42"/>
      <c r="K36" s="42"/>
      <c r="L36" s="42"/>
      <c r="M36" s="42"/>
      <c r="N36" s="28"/>
    </row>
    <row r="37" spans="1:14" x14ac:dyDescent="0.2">
      <c r="A37" s="25"/>
      <c r="B37" s="13" t="s">
        <v>227</v>
      </c>
      <c r="C37" s="154">
        <f>IF($B37=" ","",IFERROR(INDEX(MMWR_RATING_RO_ROLLUP[],MATCH($B37,MMWR_RATING_RO_ROLLUP[MMWR_RATING_RO_ROLLUP],0),MATCH(C$9,MMWR_RATING_RO_ROLLUP[#Headers],0)),"ERROR"))</f>
        <v>622</v>
      </c>
      <c r="D37" s="155">
        <f>IF($B37=" ","",IFERROR(INDEX(MMWR_RATING_RO_ROLLUP[],MATCH($B37,MMWR_RATING_RO_ROLLUP[MMWR_RATING_RO_ROLLUP],0),MATCH(D$9,MMWR_RATING_RO_ROLLUP[#Headers],0)),"ERROR"))</f>
        <v>168.46784565920001</v>
      </c>
      <c r="E37" s="156">
        <f>IF($B37=" ","",IFERROR(INDEX(MMWR_RATING_RO_ROLLUP[],MATCH($B37,MMWR_RATING_RO_ROLLUP[MMWR_RATING_RO_ROLLUP],0),MATCH(E$9,MMWR_RATING_RO_ROLLUP[#Headers],0))/$C37,"ERROR"))</f>
        <v>0.45176848874598069</v>
      </c>
      <c r="F37" s="154">
        <f>IF($B37=" ","",IFERROR(INDEX(MMWR_RATING_RO_ROLLUP[],MATCH($B37,MMWR_RATING_RO_ROLLUP[MMWR_RATING_RO_ROLLUP],0),MATCH(F$9,MMWR_RATING_RO_ROLLUP[#Headers],0)),"ERROR"))</f>
        <v>262</v>
      </c>
      <c r="G37" s="154">
        <f>IF($B37=" ","",IFERROR(INDEX(MMWR_RATING_RO_ROLLUP[],MATCH($B37,MMWR_RATING_RO_ROLLUP[MMWR_RATING_RO_ROLLUP],0),MATCH(G$9,MMWR_RATING_RO_ROLLUP[#Headers],0)),"ERROR"))</f>
        <v>1134</v>
      </c>
      <c r="H37" s="155">
        <f>IF($B37=" ","",IFERROR(INDEX(MMWR_RATING_RO_ROLLUP[],MATCH($B37,MMWR_RATING_RO_ROLLUP[MMWR_RATING_RO_ROLLUP],0),MATCH(H$9,MMWR_RATING_RO_ROLLUP[#Headers],0)),"ERROR"))</f>
        <v>54.7557251908</v>
      </c>
      <c r="I37" s="155">
        <f>IF($B37=" ","",IFERROR(INDEX(MMWR_RATING_RO_ROLLUP[],MATCH($B37,MMWR_RATING_RO_ROLLUP[MMWR_RATING_RO_ROLLUP],0),MATCH(I$9,MMWR_RATING_RO_ROLLUP[#Headers],0)),"ERROR"))</f>
        <v>51.735449735400003</v>
      </c>
      <c r="J37" s="42"/>
      <c r="K37" s="42"/>
      <c r="L37" s="42"/>
      <c r="M37" s="42"/>
      <c r="N37" s="28"/>
    </row>
    <row r="38" spans="1:14" x14ac:dyDescent="0.2">
      <c r="A38" s="25"/>
      <c r="B38" s="357" t="s">
        <v>916</v>
      </c>
      <c r="C38" s="358"/>
      <c r="D38" s="358"/>
      <c r="E38" s="358"/>
      <c r="F38" s="358"/>
      <c r="G38" s="358"/>
      <c r="H38" s="358"/>
      <c r="I38" s="358"/>
      <c r="J38" s="358"/>
      <c r="K38" s="358"/>
      <c r="L38" s="358"/>
      <c r="M38" s="408"/>
      <c r="N38" s="28"/>
    </row>
    <row r="39" spans="1:14" x14ac:dyDescent="0.2">
      <c r="A39" s="25"/>
      <c r="B39" s="44" t="s">
        <v>697</v>
      </c>
      <c r="C39" s="154">
        <f>IF($B39=" ","",IFERROR(INDEX(MMWR_RATING_RO_ROLLUP[],MATCH($B39,MMWR_RATING_RO_ROLLUP[MMWR_RATING_RO_ROLLUP],0),MATCH(C$9,MMWR_RATING_RO_ROLLUP[#Headers],0)),"ERROR"))</f>
        <v>10569</v>
      </c>
      <c r="D39" s="155">
        <f>IF($B39=" ","",IFERROR(INDEX(MMWR_RATING_RO_ROLLUP[],MATCH($B39,MMWR_RATING_RO_ROLLUP[MMWR_RATING_RO_ROLLUP],0),MATCH(D$9,MMWR_RATING_RO_ROLLUP[#Headers],0)),"ERROR"))</f>
        <v>81.9196707352</v>
      </c>
      <c r="E39" s="156">
        <f>IF($B39=" ","",IFERROR(INDEX(MMWR_RATING_RO_ROLLUP[],MATCH($B39,MMWR_RATING_RO_ROLLUP[MMWR_RATING_RO_ROLLUP],0),MATCH(E$9,MMWR_RATING_RO_ROLLUP[#Headers],0))/$C39,"ERROR"))</f>
        <v>0.1730532689942284</v>
      </c>
      <c r="F39" s="154">
        <f>IF($B39=" ","",IFERROR(INDEX(MMWR_RATING_RO_ROLLUP[],MATCH($B39,MMWR_RATING_RO_ROLLUP[MMWR_RATING_RO_ROLLUP],0),MATCH(F$9,MMWR_RATING_RO_ROLLUP[#Headers],0)),"ERROR"))</f>
        <v>1203</v>
      </c>
      <c r="G39" s="154">
        <f>IF($B39=" ","",IFERROR(INDEX(MMWR_RATING_RO_ROLLUP[],MATCH($B39,MMWR_RATING_RO_ROLLUP[MMWR_RATING_RO_ROLLUP],0),MATCH(G$9,MMWR_RATING_RO_ROLLUP[#Headers],0)),"ERROR"))</f>
        <v>4209</v>
      </c>
      <c r="H39" s="155">
        <f>IF($B39=" ","",IFERROR(INDEX(MMWR_RATING_RO_ROLLUP[],MATCH($B39,MMWR_RATING_RO_ROLLUP[MMWR_RATING_RO_ROLLUP],0),MATCH(H$9,MMWR_RATING_RO_ROLLUP[#Headers],0)),"ERROR"))</f>
        <v>145.33416458849999</v>
      </c>
      <c r="I39" s="155">
        <f>IF($B39=" ","",IFERROR(INDEX(MMWR_RATING_RO_ROLLUP[],MATCH($B39,MMWR_RATING_RO_ROLLUP[MMWR_RATING_RO_ROLLUP],0),MATCH(I$9,MMWR_RATING_RO_ROLLUP[#Headers],0)),"ERROR"))</f>
        <v>138.48372535039999</v>
      </c>
      <c r="J39" s="42"/>
      <c r="K39" s="42"/>
      <c r="L39" s="42"/>
      <c r="M39" s="42"/>
      <c r="N39" s="28"/>
    </row>
    <row r="40" spans="1:14" x14ac:dyDescent="0.2">
      <c r="A40" s="25"/>
      <c r="B40" s="53" t="s">
        <v>956</v>
      </c>
      <c r="C40" s="154">
        <f>IF($B40=" ","",IFERROR(INDEX(MMWR_RATING_RO_ROLLUP[],MATCH($B40,MMWR_RATING_RO_ROLLUP[MMWR_RATING_RO_ROLLUP],0),MATCH(C$9,MMWR_RATING_RO_ROLLUP[#Headers],0)),"ERROR"))</f>
        <v>1735</v>
      </c>
      <c r="D40" s="155">
        <f>IF($B40=" ","",IFERROR(INDEX(MMWR_RATING_RO_ROLLUP[],MATCH($B40,MMWR_RATING_RO_ROLLUP[MMWR_RATING_RO_ROLLUP],0),MATCH(D$9,MMWR_RATING_RO_ROLLUP[#Headers],0)),"ERROR"))</f>
        <v>80.148126801199993</v>
      </c>
      <c r="E40" s="156">
        <f>IF($B40=" ","",IFERROR(INDEX(MMWR_RATING_RO_ROLLUP[],MATCH($B40,MMWR_RATING_RO_ROLLUP[MMWR_RATING_RO_ROLLUP],0),MATCH(E$9,MMWR_RATING_RO_ROLLUP[#Headers],0))/$C40,"ERROR"))</f>
        <v>0.11815561959654179</v>
      </c>
      <c r="F40" s="154">
        <f>IF($B40=" ","",IFERROR(INDEX(MMWR_RATING_RO_ROLLUP[],MATCH($B40,MMWR_RATING_RO_ROLLUP[MMWR_RATING_RO_ROLLUP],0),MATCH(F$9,MMWR_RATING_RO_ROLLUP[#Headers],0)),"ERROR"))</f>
        <v>265</v>
      </c>
      <c r="G40" s="154">
        <f>IF($B40=" ","",IFERROR(INDEX(MMWR_RATING_RO_ROLLUP[],MATCH($B40,MMWR_RATING_RO_ROLLUP[MMWR_RATING_RO_ROLLUP],0),MATCH(G$9,MMWR_RATING_RO_ROLLUP[#Headers],0)),"ERROR"))</f>
        <v>974</v>
      </c>
      <c r="H40" s="155">
        <f>IF($B40=" ","",IFERROR(INDEX(MMWR_RATING_RO_ROLLUP[],MATCH($B40,MMWR_RATING_RO_ROLLUP[MMWR_RATING_RO_ROLLUP],0),MATCH(H$9,MMWR_RATING_RO_ROLLUP[#Headers],0)),"ERROR"))</f>
        <v>131.60377358490001</v>
      </c>
      <c r="I40" s="155">
        <f>IF($B40=" ","",IFERROR(INDEX(MMWR_RATING_RO_ROLLUP[],MATCH($B40,MMWR_RATING_RO_ROLLUP[MMWR_RATING_RO_ROLLUP],0),MATCH(I$9,MMWR_RATING_RO_ROLLUP[#Headers],0)),"ERROR"))</f>
        <v>121.8470225873</v>
      </c>
      <c r="J40" s="42"/>
      <c r="K40" s="42"/>
      <c r="L40" s="42"/>
      <c r="M40" s="42"/>
      <c r="N40" s="28"/>
    </row>
    <row r="41" spans="1:14" x14ac:dyDescent="0.2">
      <c r="A41" s="25"/>
      <c r="B41" s="53" t="s">
        <v>957</v>
      </c>
      <c r="C41" s="154">
        <f>IF($B41=" ","",IFERROR(INDEX(MMWR_RATING_RO_ROLLUP[],MATCH($B41,MMWR_RATING_RO_ROLLUP[MMWR_RATING_RO_ROLLUP],0),MATCH(C$9,MMWR_RATING_RO_ROLLUP[#Headers],0)),"ERROR"))</f>
        <v>1798</v>
      </c>
      <c r="D41" s="155">
        <f>IF($B41=" ","",IFERROR(INDEX(MMWR_RATING_RO_ROLLUP[],MATCH($B41,MMWR_RATING_RO_ROLLUP[MMWR_RATING_RO_ROLLUP],0),MATCH(D$9,MMWR_RATING_RO_ROLLUP[#Headers],0)),"ERROR"))</f>
        <v>85.598998887700006</v>
      </c>
      <c r="E41" s="156">
        <f>IF($B41=" ","",IFERROR(INDEX(MMWR_RATING_RO_ROLLUP[],MATCH($B41,MMWR_RATING_RO_ROLLUP[MMWR_RATING_RO_ROLLUP],0),MATCH(E$9,MMWR_RATING_RO_ROLLUP[#Headers],0))/$C41,"ERROR"))</f>
        <v>0.21245828698553948</v>
      </c>
      <c r="F41" s="154">
        <f>IF($B41=" ","",IFERROR(INDEX(MMWR_RATING_RO_ROLLUP[],MATCH($B41,MMWR_RATING_RO_ROLLUP[MMWR_RATING_RO_ROLLUP],0),MATCH(F$9,MMWR_RATING_RO_ROLLUP[#Headers],0)),"ERROR"))</f>
        <v>199</v>
      </c>
      <c r="G41" s="154">
        <f>IF($B41=" ","",IFERROR(INDEX(MMWR_RATING_RO_ROLLUP[],MATCH($B41,MMWR_RATING_RO_ROLLUP[MMWR_RATING_RO_ROLLUP],0),MATCH(G$9,MMWR_RATING_RO_ROLLUP[#Headers],0)),"ERROR"))</f>
        <v>755</v>
      </c>
      <c r="H41" s="155">
        <f>IF($B41=" ","",IFERROR(INDEX(MMWR_RATING_RO_ROLLUP[],MATCH($B41,MMWR_RATING_RO_ROLLUP[MMWR_RATING_RO_ROLLUP],0),MATCH(H$9,MMWR_RATING_RO_ROLLUP[#Headers],0)),"ERROR"))</f>
        <v>155.51256281409999</v>
      </c>
      <c r="I41" s="155">
        <f>IF($B41=" ","",IFERROR(INDEX(MMWR_RATING_RO_ROLLUP[],MATCH($B41,MMWR_RATING_RO_ROLLUP[MMWR_RATING_RO_ROLLUP],0),MATCH(I$9,MMWR_RATING_RO_ROLLUP[#Headers],0)),"ERROR"))</f>
        <v>151.119205298</v>
      </c>
      <c r="J41" s="42"/>
      <c r="K41" s="42"/>
      <c r="L41" s="42"/>
      <c r="M41" s="42"/>
      <c r="N41" s="28"/>
    </row>
    <row r="42" spans="1:14" x14ac:dyDescent="0.2">
      <c r="A42" s="25"/>
      <c r="B42" s="46" t="s">
        <v>306</v>
      </c>
      <c r="C42" s="154">
        <f>IF($B42=" ","",IFERROR(INDEX(MMWR_RATING_RO_ROLLUP[],MATCH($B42,MMWR_RATING_RO_ROLLUP[MMWR_RATING_RO_ROLLUP],0),MATCH(C$9,MMWR_RATING_RO_ROLLUP[#Headers],0)),"ERROR"))</f>
        <v>7036</v>
      </c>
      <c r="D42" s="155">
        <f>IF($B42=" ","",IFERROR(INDEX(MMWR_RATING_RO_ROLLUP[],MATCH($B42,MMWR_RATING_RO_ROLLUP[MMWR_RATING_RO_ROLLUP],0),MATCH(D$9,MMWR_RATING_RO_ROLLUP[#Headers],0)),"ERROR"))</f>
        <v>81.416287663399999</v>
      </c>
      <c r="E42" s="156">
        <f>IF($B42=" ","",IFERROR(INDEX(MMWR_RATING_RO_ROLLUP[],MATCH($B42,MMWR_RATING_RO_ROLLUP[MMWR_RATING_RO_ROLLUP],0),MATCH(E$9,MMWR_RATING_RO_ROLLUP[#Headers],0))/$C42,"ERROR"))</f>
        <v>0.17652075042637863</v>
      </c>
      <c r="F42" s="154">
        <f>IF($B42=" ","",IFERROR(INDEX(MMWR_RATING_RO_ROLLUP[],MATCH($B42,MMWR_RATING_RO_ROLLUP[MMWR_RATING_RO_ROLLUP],0),MATCH(F$9,MMWR_RATING_RO_ROLLUP[#Headers],0)),"ERROR"))</f>
        <v>739</v>
      </c>
      <c r="G42" s="154">
        <f>IF($B42=" ","",IFERROR(INDEX(MMWR_RATING_RO_ROLLUP[],MATCH($B42,MMWR_RATING_RO_ROLLUP[MMWR_RATING_RO_ROLLUP],0),MATCH(G$9,MMWR_RATING_RO_ROLLUP[#Headers],0)),"ERROR"))</f>
        <v>2480</v>
      </c>
      <c r="H42" s="155">
        <f>IF($B42=" ","",IFERROR(INDEX(MMWR_RATING_RO_ROLLUP[],MATCH($B42,MMWR_RATING_RO_ROLLUP[MMWR_RATING_RO_ROLLUP],0),MATCH(H$9,MMWR_RATING_RO_ROLLUP[#Headers],0)),"ERROR"))</f>
        <v>147.51691474969999</v>
      </c>
      <c r="I42" s="155">
        <f>IF($B42=" ","",IFERROR(INDEX(MMWR_RATING_RO_ROLLUP[],MATCH($B42,MMWR_RATING_RO_ROLLUP[MMWR_RATING_RO_ROLLUP],0),MATCH(I$9,MMWR_RATING_RO_ROLLUP[#Headers],0)),"ERROR"))</f>
        <v>141.1709677419</v>
      </c>
      <c r="J42" s="42"/>
      <c r="K42" s="42"/>
      <c r="L42" s="42"/>
      <c r="M42" s="42"/>
      <c r="N42" s="28"/>
    </row>
    <row r="43" spans="1:14" x14ac:dyDescent="0.2">
      <c r="A43" s="25"/>
      <c r="B43" s="357" t="s">
        <v>734</v>
      </c>
      <c r="C43" s="358"/>
      <c r="D43" s="358"/>
      <c r="E43" s="358"/>
      <c r="F43" s="358"/>
      <c r="G43" s="358"/>
      <c r="H43" s="358"/>
      <c r="I43" s="358"/>
      <c r="J43" s="358"/>
      <c r="K43" s="358"/>
      <c r="L43" s="358"/>
      <c r="M43" s="408"/>
      <c r="N43" s="28"/>
    </row>
    <row r="44" spans="1:14" x14ac:dyDescent="0.2">
      <c r="A44" s="25"/>
      <c r="B44" s="44" t="s">
        <v>695</v>
      </c>
      <c r="C44" s="154">
        <f>IF($B44=" ","",IFERROR(INDEX(MMWR_RATING_RO_ROLLUP[],MATCH($B44,MMWR_RATING_RO_ROLLUP[MMWR_RATING_RO_ROLLUP],0),MATCH(C$9,MMWR_RATING_RO_ROLLUP[#Headers],0)),"ERROR"))</f>
        <v>11590</v>
      </c>
      <c r="D44" s="155">
        <f>IF($B44=" ","",IFERROR(INDEX(MMWR_RATING_RO_ROLLUP[],MATCH($B44,MMWR_RATING_RO_ROLLUP[MMWR_RATING_RO_ROLLUP],0),MATCH(D$9,MMWR_RATING_RO_ROLLUP[#Headers],0)),"ERROR"))</f>
        <v>83.029508196699993</v>
      </c>
      <c r="E44" s="156">
        <f>IF($B44=" ","",IFERROR(INDEX(MMWR_RATING_RO_ROLLUP[],MATCH($B44,MMWR_RATING_RO_ROLLUP[MMWR_RATING_RO_ROLLUP],0),MATCH(E$9,MMWR_RATING_RO_ROLLUP[#Headers],0))/$C44,"ERROR"))</f>
        <v>0.1810181190681622</v>
      </c>
      <c r="F44" s="154">
        <f>IF($B44=" ","",IFERROR(INDEX(MMWR_RATING_RO_ROLLUP[],MATCH($B44,MMWR_RATING_RO_ROLLUP[MMWR_RATING_RO_ROLLUP],0),MATCH(F$9,MMWR_RATING_RO_ROLLUP[#Headers],0)),"ERROR"))</f>
        <v>1363</v>
      </c>
      <c r="G44" s="154">
        <f>IF($B44=" ","",IFERROR(INDEX(MMWR_RATING_RO_ROLLUP[],MATCH($B44,MMWR_RATING_RO_ROLLUP[MMWR_RATING_RO_ROLLUP],0),MATCH(G$9,MMWR_RATING_RO_ROLLUP[#Headers],0)),"ERROR"))</f>
        <v>4944</v>
      </c>
      <c r="H44" s="155">
        <f>IF($B44=" ","",IFERROR(INDEX(MMWR_RATING_RO_ROLLUP[],MATCH($B44,MMWR_RATING_RO_ROLLUP[MMWR_RATING_RO_ROLLUP],0),MATCH(H$9,MMWR_RATING_RO_ROLLUP[#Headers],0)),"ERROR"))</f>
        <v>137.05722670579999</v>
      </c>
      <c r="I44" s="155">
        <f>IF($B44=" ","",IFERROR(INDEX(MMWR_RATING_RO_ROLLUP[],MATCH($B44,MMWR_RATING_RO_ROLLUP[MMWR_RATING_RO_ROLLUP],0),MATCH(I$9,MMWR_RATING_RO_ROLLUP[#Headers],0)),"ERROR"))</f>
        <v>131.4965614887</v>
      </c>
      <c r="J44" s="42"/>
      <c r="K44" s="42"/>
      <c r="L44" s="42"/>
      <c r="M44" s="42"/>
      <c r="N44" s="28"/>
    </row>
    <row r="45" spans="1:14" x14ac:dyDescent="0.2">
      <c r="A45" s="25"/>
      <c r="B45" s="45" t="s">
        <v>214</v>
      </c>
      <c r="C45" s="154">
        <f>IF($B45=" ","",IFERROR(INDEX(MMWR_RATING_RO_ROLLUP[],MATCH($B45,MMWR_RATING_RO_ROLLUP[MMWR_RATING_RO_ROLLUP],0),MATCH(C$9,MMWR_RATING_RO_ROLLUP[#Headers],0)),"ERROR"))</f>
        <v>68</v>
      </c>
      <c r="D45" s="155">
        <f>IF($B45=" ","",IFERROR(INDEX(MMWR_RATING_RO_ROLLUP[],MATCH($B45,MMWR_RATING_RO_ROLLUP[MMWR_RATING_RO_ROLLUP],0),MATCH(D$9,MMWR_RATING_RO_ROLLUP[#Headers],0)),"ERROR"))</f>
        <v>83.911764705899998</v>
      </c>
      <c r="E45" s="156">
        <f>IF($B45=" ","",IFERROR(INDEX(MMWR_RATING_RO_ROLLUP[],MATCH($B45,MMWR_RATING_RO_ROLLUP[MMWR_RATING_RO_ROLLUP],0),MATCH(E$9,MMWR_RATING_RO_ROLLUP[#Headers],0))/$C45,"ERROR"))</f>
        <v>8.8235294117647065E-2</v>
      </c>
      <c r="F45" s="154">
        <f>IF($B45=" ","",IFERROR(INDEX(MMWR_RATING_RO_ROLLUP[],MATCH($B45,MMWR_RATING_RO_ROLLUP[MMWR_RATING_RO_ROLLUP],0),MATCH(F$9,MMWR_RATING_RO_ROLLUP[#Headers],0)),"ERROR"))</f>
        <v>9</v>
      </c>
      <c r="G45" s="154">
        <f>IF($B45=" ","",IFERROR(INDEX(MMWR_RATING_RO_ROLLUP[],MATCH($B45,MMWR_RATING_RO_ROLLUP[MMWR_RATING_RO_ROLLUP],0),MATCH(G$9,MMWR_RATING_RO_ROLLUP[#Headers],0)),"ERROR"))</f>
        <v>38</v>
      </c>
      <c r="H45" s="155">
        <f>IF($B45=" ","",IFERROR(INDEX(MMWR_RATING_RO_ROLLUP[],MATCH($B45,MMWR_RATING_RO_ROLLUP[MMWR_RATING_RO_ROLLUP],0),MATCH(H$9,MMWR_RATING_RO_ROLLUP[#Headers],0)),"ERROR"))</f>
        <v>142</v>
      </c>
      <c r="I45" s="155">
        <f>IF($B45=" ","",IFERROR(INDEX(MMWR_RATING_RO_ROLLUP[],MATCH($B45,MMWR_RATING_RO_ROLLUP[MMWR_RATING_RO_ROLLUP],0),MATCH(I$9,MMWR_RATING_RO_ROLLUP[#Headers],0)),"ERROR"))</f>
        <v>149.86842105260001</v>
      </c>
      <c r="J45" s="42"/>
      <c r="K45" s="42"/>
      <c r="L45" s="42"/>
      <c r="M45" s="42"/>
      <c r="N45" s="28"/>
    </row>
    <row r="46" spans="1:14" x14ac:dyDescent="0.2">
      <c r="A46" s="25"/>
      <c r="B46" s="45" t="s">
        <v>216</v>
      </c>
      <c r="C46" s="154">
        <f>IF($B46=" ","",IFERROR(INDEX(MMWR_RATING_RO_ROLLUP[],MATCH($B46,MMWR_RATING_RO_ROLLUP[MMWR_RATING_RO_ROLLUP],0),MATCH(C$9,MMWR_RATING_RO_ROLLUP[#Headers],0)),"ERROR"))</f>
        <v>1892</v>
      </c>
      <c r="D46" s="155">
        <f>IF($B46=" ","",IFERROR(INDEX(MMWR_RATING_RO_ROLLUP[],MATCH($B46,MMWR_RATING_RO_ROLLUP[MMWR_RATING_RO_ROLLUP],0),MATCH(D$9,MMWR_RATING_RO_ROLLUP[#Headers],0)),"ERROR"))</f>
        <v>89.199260042299997</v>
      </c>
      <c r="E46" s="156">
        <f>IF($B46=" ","",IFERROR(INDEX(MMWR_RATING_RO_ROLLUP[],MATCH($B46,MMWR_RATING_RO_ROLLUP[MMWR_RATING_RO_ROLLUP],0),MATCH(E$9,MMWR_RATING_RO_ROLLUP[#Headers],0))/$C46,"ERROR"))</f>
        <v>0.24312896405919662</v>
      </c>
      <c r="F46" s="154">
        <f>IF($B46=" ","",IFERROR(INDEX(MMWR_RATING_RO_ROLLUP[],MATCH($B46,MMWR_RATING_RO_ROLLUP[MMWR_RATING_RO_ROLLUP],0),MATCH(F$9,MMWR_RATING_RO_ROLLUP[#Headers],0)),"ERROR"))</f>
        <v>247</v>
      </c>
      <c r="G46" s="154">
        <f>IF($B46=" ","",IFERROR(INDEX(MMWR_RATING_RO_ROLLUP[],MATCH($B46,MMWR_RATING_RO_ROLLUP[MMWR_RATING_RO_ROLLUP],0),MATCH(G$9,MMWR_RATING_RO_ROLLUP[#Headers],0)),"ERROR"))</f>
        <v>938</v>
      </c>
      <c r="H46" s="155">
        <f>IF($B46=" ","",IFERROR(INDEX(MMWR_RATING_RO_ROLLUP[],MATCH($B46,MMWR_RATING_RO_ROLLUP[MMWR_RATING_RO_ROLLUP],0),MATCH(H$9,MMWR_RATING_RO_ROLLUP[#Headers],0)),"ERROR"))</f>
        <v>142.26315789469999</v>
      </c>
      <c r="I46" s="155">
        <f>IF($B46=" ","",IFERROR(INDEX(MMWR_RATING_RO_ROLLUP[],MATCH($B46,MMWR_RATING_RO_ROLLUP[MMWR_RATING_RO_ROLLUP],0),MATCH(I$9,MMWR_RATING_RO_ROLLUP[#Headers],0)),"ERROR"))</f>
        <v>141.7953091684</v>
      </c>
      <c r="J46" s="42"/>
      <c r="K46" s="42"/>
      <c r="L46" s="42"/>
      <c r="M46" s="42"/>
      <c r="N46" s="28"/>
    </row>
    <row r="47" spans="1:14" x14ac:dyDescent="0.2">
      <c r="A47" s="25"/>
      <c r="B47" s="47" t="s">
        <v>307</v>
      </c>
      <c r="C47" s="154">
        <f>IF($B47=" ","",IFERROR(INDEX(MMWR_RATING_RO_ROLLUP[],MATCH($B47,MMWR_RATING_RO_ROLLUP[MMWR_RATING_RO_ROLLUP],0),MATCH(C$9,MMWR_RATING_RO_ROLLUP[#Headers],0)),"ERROR"))</f>
        <v>9630</v>
      </c>
      <c r="D47" s="155">
        <f>IF($B47=" ","",IFERROR(INDEX(MMWR_RATING_RO_ROLLUP[],MATCH($B47,MMWR_RATING_RO_ROLLUP[MMWR_RATING_RO_ROLLUP],0),MATCH(D$9,MMWR_RATING_RO_ROLLUP[#Headers],0)),"ERROR"))</f>
        <v>81.811111111100004</v>
      </c>
      <c r="E47" s="156">
        <f>IF($B47=" ","",IFERROR(INDEX(MMWR_RATING_RO_ROLLUP[],MATCH($B47,MMWR_RATING_RO_ROLLUP[MMWR_RATING_RO_ROLLUP],0),MATCH(E$9,MMWR_RATING_RO_ROLLUP[#Headers],0))/$C47,"ERROR"))</f>
        <v>0.16947040498442367</v>
      </c>
      <c r="F47" s="154">
        <f>IF($B47=" ","",IFERROR(INDEX(MMWR_RATING_RO_ROLLUP[],MATCH($B47,MMWR_RATING_RO_ROLLUP[MMWR_RATING_RO_ROLLUP],0),MATCH(F$9,MMWR_RATING_RO_ROLLUP[#Headers],0)),"ERROR"))</f>
        <v>1107</v>
      </c>
      <c r="G47" s="154">
        <f>IF($B47=" ","",IFERROR(INDEX(MMWR_RATING_RO_ROLLUP[],MATCH($B47,MMWR_RATING_RO_ROLLUP[MMWR_RATING_RO_ROLLUP],0),MATCH(G$9,MMWR_RATING_RO_ROLLUP[#Headers],0)),"ERROR"))</f>
        <v>3968</v>
      </c>
      <c r="H47" s="155">
        <f>IF($B47=" ","",IFERROR(INDEX(MMWR_RATING_RO_ROLLUP[],MATCH($B47,MMWR_RATING_RO_ROLLUP[MMWR_RATING_RO_ROLLUP],0),MATCH(H$9,MMWR_RATING_RO_ROLLUP[#Headers],0)),"ERROR"))</f>
        <v>135.85546522129999</v>
      </c>
      <c r="I47" s="155">
        <f>IF($B47=" ","",IFERROR(INDEX(MMWR_RATING_RO_ROLLUP[],MATCH($B47,MMWR_RATING_RO_ROLLUP[MMWR_RATING_RO_ROLLUP],0),MATCH(I$9,MMWR_RATING_RO_ROLLUP[#Headers],0)),"ERROR"))</f>
        <v>128.8860887097</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2" priority="4">
      <formula>IF(OR(ISERROR(A1048576),A1="ERROR"),TRUE,FALSE)</formula>
    </cfRule>
  </conditionalFormatting>
  <conditionalFormatting sqref="B4">
    <cfRule type="expression" dxfId="431" priority="2">
      <formula>IF(OR(ISERROR(B4),B4="ERROR"),TRUE,FALSE)</formula>
    </cfRule>
  </conditionalFormatting>
  <conditionalFormatting sqref="C5:O5">
    <cfRule type="expression" dxfId="430"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71" t="s">
        <v>978</v>
      </c>
      <c r="D2" s="372"/>
      <c r="E2" s="372"/>
      <c r="F2" s="372"/>
      <c r="G2" s="372"/>
      <c r="H2" s="372"/>
      <c r="I2" s="372"/>
      <c r="J2" s="371" t="s">
        <v>299</v>
      </c>
      <c r="K2" s="372"/>
      <c r="L2" s="372"/>
      <c r="M2" s="373"/>
      <c r="N2" s="28"/>
    </row>
    <row r="3" spans="1:15" ht="24" customHeight="1" thickBot="1" x14ac:dyDescent="0.4">
      <c r="A3" s="25"/>
      <c r="B3" s="29"/>
      <c r="C3" s="374"/>
      <c r="D3" s="375"/>
      <c r="E3" s="375"/>
      <c r="F3" s="375"/>
      <c r="G3" s="375"/>
      <c r="H3" s="375"/>
      <c r="I3" s="375"/>
      <c r="J3" s="374" t="str">
        <f>Transformation!B4</f>
        <v>As of: December 19, 2015</v>
      </c>
      <c r="K3" s="375"/>
      <c r="L3" s="375"/>
      <c r="M3" s="376"/>
      <c r="N3" s="28"/>
    </row>
    <row r="4" spans="1:15" ht="51.75" customHeight="1" thickBot="1" x14ac:dyDescent="0.35">
      <c r="A4" s="30"/>
      <c r="B4" s="247" t="s">
        <v>455</v>
      </c>
      <c r="C4" s="377" t="s">
        <v>431</v>
      </c>
      <c r="D4" s="378"/>
      <c r="E4" s="378"/>
      <c r="F4" s="378"/>
      <c r="G4" s="378"/>
      <c r="H4" s="378"/>
      <c r="I4" s="378"/>
      <c r="J4" s="378"/>
      <c r="K4" s="378"/>
      <c r="L4" s="378"/>
      <c r="M4" s="379"/>
      <c r="N4" s="28"/>
    </row>
    <row r="5" spans="1:15" ht="27" customHeight="1" thickBot="1" x14ac:dyDescent="0.25">
      <c r="A5" s="30"/>
      <c r="B5" s="246" t="s">
        <v>369</v>
      </c>
      <c r="C5" s="380" t="s">
        <v>1042</v>
      </c>
      <c r="D5" s="381"/>
      <c r="E5" s="381"/>
      <c r="F5" s="381"/>
      <c r="G5" s="381"/>
      <c r="H5" s="381"/>
      <c r="I5" s="381"/>
      <c r="J5" s="381"/>
      <c r="K5" s="381"/>
      <c r="L5" s="381"/>
      <c r="M5" s="381"/>
      <c r="N5" s="381"/>
      <c r="O5" s="382"/>
    </row>
    <row r="6" spans="1:15" ht="55.5" customHeight="1" x14ac:dyDescent="0.2">
      <c r="A6" s="30"/>
      <c r="B6" s="31"/>
      <c r="C6" s="32" t="s">
        <v>193</v>
      </c>
      <c r="D6" s="383" t="s">
        <v>16</v>
      </c>
      <c r="E6" s="384"/>
      <c r="F6" s="33" t="s">
        <v>196</v>
      </c>
      <c r="G6" s="383" t="s">
        <v>201</v>
      </c>
      <c r="H6" s="385"/>
      <c r="I6" s="33" t="s">
        <v>199</v>
      </c>
      <c r="J6" s="49" t="s">
        <v>14</v>
      </c>
      <c r="K6" s="33" t="s">
        <v>204</v>
      </c>
      <c r="L6" s="389" t="s">
        <v>88</v>
      </c>
      <c r="M6" s="402"/>
      <c r="N6" s="28"/>
    </row>
    <row r="7" spans="1:15" ht="51.75" customHeight="1" x14ac:dyDescent="0.2">
      <c r="A7" s="30"/>
      <c r="B7" s="34"/>
      <c r="C7" s="35" t="s">
        <v>194</v>
      </c>
      <c r="D7" s="359" t="s">
        <v>0</v>
      </c>
      <c r="E7" s="360"/>
      <c r="F7" s="36" t="s">
        <v>197</v>
      </c>
      <c r="G7" s="361" t="s">
        <v>202</v>
      </c>
      <c r="H7" s="361"/>
      <c r="I7" s="36" t="s">
        <v>200</v>
      </c>
      <c r="J7" s="50" t="s">
        <v>19</v>
      </c>
      <c r="K7" s="36" t="s">
        <v>205</v>
      </c>
      <c r="L7" s="403" t="s">
        <v>90</v>
      </c>
      <c r="M7" s="404"/>
      <c r="N7" s="28"/>
    </row>
    <row r="8" spans="1:15" ht="51.75" customHeight="1" thickBot="1" x14ac:dyDescent="0.25">
      <c r="A8" s="25"/>
      <c r="B8" s="28"/>
      <c r="C8" s="37" t="s">
        <v>195</v>
      </c>
      <c r="D8" s="362" t="s">
        <v>18</v>
      </c>
      <c r="E8" s="363"/>
      <c r="F8" s="38" t="s">
        <v>198</v>
      </c>
      <c r="G8" s="364" t="s">
        <v>17</v>
      </c>
      <c r="H8" s="364"/>
      <c r="I8" s="38" t="s">
        <v>203</v>
      </c>
      <c r="J8" s="51" t="s">
        <v>87</v>
      </c>
      <c r="K8" s="38" t="s">
        <v>206</v>
      </c>
      <c r="L8" s="405" t="s">
        <v>89</v>
      </c>
      <c r="M8" s="406"/>
      <c r="N8" s="28"/>
    </row>
    <row r="9" spans="1:15" x14ac:dyDescent="0.2">
      <c r="A9" s="28"/>
      <c r="B9" s="39"/>
      <c r="C9" s="39" t="s">
        <v>714</v>
      </c>
      <c r="D9" s="39" t="s">
        <v>716</v>
      </c>
      <c r="E9" s="39" t="s">
        <v>715</v>
      </c>
      <c r="F9" s="39" t="s">
        <v>718</v>
      </c>
      <c r="G9" s="39" t="s">
        <v>717</v>
      </c>
      <c r="H9" s="39" t="s">
        <v>720</v>
      </c>
      <c r="I9" s="39" t="s">
        <v>719</v>
      </c>
      <c r="J9" s="39"/>
      <c r="K9" s="39"/>
      <c r="L9" s="39"/>
      <c r="M9" s="39"/>
      <c r="N9" s="39"/>
    </row>
    <row r="10" spans="1:15" ht="15.75" customHeight="1" x14ac:dyDescent="0.2">
      <c r="A10" s="25"/>
      <c r="B10" s="26"/>
      <c r="C10" s="365" t="s">
        <v>292</v>
      </c>
      <c r="D10" s="365"/>
      <c r="E10" s="365"/>
      <c r="F10" s="365"/>
      <c r="G10" s="365"/>
      <c r="H10" s="365"/>
      <c r="I10" s="365"/>
      <c r="J10" s="365"/>
      <c r="K10" s="365"/>
      <c r="L10" s="365"/>
      <c r="M10" s="407"/>
      <c r="N10" s="28"/>
    </row>
    <row r="11" spans="1:15" ht="63.75" customHeight="1" x14ac:dyDescent="0.2">
      <c r="A11" s="25"/>
      <c r="B11" s="26"/>
      <c r="C11" s="52" t="s">
        <v>229</v>
      </c>
      <c r="D11" s="52" t="s">
        <v>137</v>
      </c>
      <c r="E11" s="52" t="s">
        <v>230</v>
      </c>
      <c r="F11" s="52" t="s">
        <v>192</v>
      </c>
      <c r="G11" s="52" t="s">
        <v>207</v>
      </c>
      <c r="H11" s="52" t="s">
        <v>209</v>
      </c>
      <c r="I11" s="52" t="s">
        <v>210</v>
      </c>
      <c r="J11" s="409" t="s">
        <v>972</v>
      </c>
      <c r="K11" s="410"/>
      <c r="L11" s="410"/>
      <c r="M11" s="411"/>
      <c r="N11" s="28"/>
    </row>
    <row r="12" spans="1:15" x14ac:dyDescent="0.2">
      <c r="A12" s="25"/>
      <c r="B12" s="41" t="s">
        <v>729</v>
      </c>
      <c r="C12" s="154">
        <f>IF($B12=" ","",IFERROR(INDEX(MMWR_RATING_STATE_ROLLUP_VSC[],MATCH($B12,MMWR_RATING_STATE_ROLLUP_VSC[MMWR_RATING_STATE_ROLLUP_VSC],0),MATCH(C$9,MMWR_RATING_STATE_ROLLUP_VSC[#Headers],0)),"ERROR"))</f>
        <v>364497</v>
      </c>
      <c r="D12" s="155">
        <f>IF($B12=" ","",IFERROR(INDEX(MMWR_RATING_STATE_ROLLUP_VSC[],MATCH($B12,MMWR_RATING_STATE_ROLLUP_VSC[MMWR_RATING_STATE_ROLLUP_VSC],0),MATCH(D$9,MMWR_RATING_STATE_ROLLUP_VSC[#Headers],0)),"ERROR"))</f>
        <v>89.797416713999993</v>
      </c>
      <c r="E12" s="158">
        <f>IF($B12=" ","",IFERROR(INDEX(MMWR_RATING_STATE_ROLLUP_VSC[],MATCH($B12,MMWR_RATING_STATE_ROLLUP_VSC[MMWR_RATING_STATE_ROLLUP_VSC],0),MATCH(E$9,MMWR_RATING_STATE_ROLLUP_VSC[#Headers],0))/$C12,"ERROR"))</f>
        <v>0.20227875675245613</v>
      </c>
      <c r="F12" s="154">
        <f>IF($B12=" ","",IFERROR(INDEX(MMWR_RATING_STATE_ROLLUP_VSC[],MATCH($B12,MMWR_RATING_STATE_ROLLUP_VSC[MMWR_RATING_STATE_ROLLUP_VSC],0),MATCH(F$9,MMWR_RATING_STATE_ROLLUP_VSC[#Headers],0)),"ERROR"))</f>
        <v>69676</v>
      </c>
      <c r="G12" s="154">
        <f>IF($B12=" ","",IFERROR(INDEX(MMWR_RATING_STATE_ROLLUP_VSC[],MATCH($B12,MMWR_RATING_STATE_ROLLUP_VSC[MMWR_RATING_STATE_ROLLUP_VSC],0),MATCH(G$9,MMWR_RATING_STATE_ROLLUP_VSC[#Headers],0)),"ERROR"))</f>
        <v>273315</v>
      </c>
      <c r="H12" s="155">
        <f>IF($B12=" ","",IFERROR(INDEX(MMWR_RATING_STATE_ROLLUP_VSC[],MATCH($B12,MMWR_RATING_STATE_ROLLUP_VSC[MMWR_RATING_STATE_ROLLUP_VSC],0),MATCH(H$9,MMWR_RATING_STATE_ROLLUP_VSC[#Headers],0)),"ERROR"))</f>
        <v>128.14261725700001</v>
      </c>
      <c r="I12" s="155">
        <f>IF($B12=" ","",IFERROR(INDEX(MMWR_RATING_STATE_ROLLUP_VSC[],MATCH($B12,MMWR_RATING_STATE_ROLLUP_VSC[MMWR_RATING_STATE_ROLLUP_VSC],0),MATCH(I$9,MMWR_RATING_STATE_ROLLUP_VSC[#Headers],0)),"ERROR"))</f>
        <v>128.173064047</v>
      </c>
      <c r="J12" s="42"/>
      <c r="K12" s="42"/>
      <c r="L12" s="42"/>
      <c r="M12" s="42"/>
      <c r="N12" s="28"/>
    </row>
    <row r="13" spans="1:15" x14ac:dyDescent="0.2">
      <c r="A13" s="25"/>
      <c r="B13" s="357" t="s">
        <v>958</v>
      </c>
      <c r="C13" s="358"/>
      <c r="D13" s="358"/>
      <c r="E13" s="358"/>
      <c r="F13" s="358"/>
      <c r="G13" s="358"/>
      <c r="H13" s="358"/>
      <c r="I13" s="358"/>
      <c r="J13" s="358"/>
      <c r="K13" s="358"/>
      <c r="L13" s="358"/>
      <c r="M13" s="408"/>
      <c r="N13" s="28"/>
    </row>
    <row r="14" spans="1:15" x14ac:dyDescent="0.2">
      <c r="A14" s="25"/>
      <c r="B14" s="41" t="s">
        <v>1036</v>
      </c>
      <c r="C14" s="154">
        <f>IF($B14=" ","",IFERROR(INDEX(MMWR_RATING_STATE_ROLLUP_VSC[],MATCH($B14,MMWR_RATING_STATE_ROLLUP_VSC[MMWR_RATING_STATE_ROLLUP_VSC],0),MATCH(C$9,MMWR_RATING_STATE_ROLLUP_VSC[#Headers],0)),"ERROR"))</f>
        <v>315769</v>
      </c>
      <c r="D14" s="155">
        <f>IF($B14=" ","",IFERROR(INDEX(MMWR_RATING_STATE_ROLLUP_VSC[],MATCH($B14,MMWR_RATING_STATE_ROLLUP_VSC[MMWR_RATING_STATE_ROLLUP_VSC],0),MATCH(D$9,MMWR_RATING_STATE_ROLLUP_VSC[#Headers],0)),"ERROR"))</f>
        <v>92.482656625600001</v>
      </c>
      <c r="E14" s="156">
        <f>IF($B14=" ","",IFERROR(INDEX(MMWR_RATING_STATE_ROLLUP_VSC[],MATCH($B14,MMWR_RATING_STATE_ROLLUP_VSC[MMWR_RATING_STATE_ROLLUP_VSC],0),MATCH(E$9,MMWR_RATING_STATE_ROLLUP_VSC[#Headers],0))/$C14,"ERROR"))</f>
        <v>0.21373219030367135</v>
      </c>
      <c r="F14" s="154">
        <f>IF($B14=" ","",IFERROR(INDEX(MMWR_RATING_STATE_ROLLUP_VSC[],MATCH($B14,MMWR_RATING_STATE_ROLLUP_VSC[MMWR_RATING_STATE_ROLLUP_VSC],0),MATCH(F$9,MMWR_RATING_STATE_ROLLUP_VSC[#Headers],0)),"ERROR"))</f>
        <v>58919</v>
      </c>
      <c r="G14" s="154">
        <f>IF($B14=" ","",IFERROR(INDEX(MMWR_RATING_STATE_ROLLUP_VSC[],MATCH($B14,MMWR_RATING_STATE_ROLLUP_VSC[MMWR_RATING_STATE_ROLLUP_VSC],0),MATCH(G$9,MMWR_RATING_STATE_ROLLUP_VSC[#Headers],0)),"ERROR"))</f>
        <v>232419</v>
      </c>
      <c r="H14" s="155">
        <f>IF($B14=" ","",IFERROR(INDEX(MMWR_RATING_STATE_ROLLUP_VSC[],MATCH($B14,MMWR_RATING_STATE_ROLLUP_VSC[MMWR_RATING_STATE_ROLLUP_VSC],0),MATCH(H$9,MMWR_RATING_STATE_ROLLUP_VSC[#Headers],0)),"ERROR"))</f>
        <v>134.91675011460001</v>
      </c>
      <c r="I14" s="155">
        <f>IF($B14=" ","",IFERROR(INDEX(MMWR_RATING_STATE_ROLLUP_VSC[],MATCH($B14,MMWR_RATING_STATE_ROLLUP_VSC[MMWR_RATING_STATE_ROLLUP_VSC],0),MATCH(I$9,MMWR_RATING_STATE_ROLLUP_VSC[#Headers],0)),"ERROR"))</f>
        <v>135.72065106549999</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67809</v>
      </c>
      <c r="D15" s="155">
        <f>IF($B15=" ","",IFERROR(INDEX(MMWR_RATING_STATE_ROLLUP_VSC[],MATCH($B15,MMWR_RATING_STATE_ROLLUP_VSC[MMWR_RATING_STATE_ROLLUP_VSC],0),MATCH(D$9,MMWR_RATING_STATE_ROLLUP_VSC[#Headers],0)),"ERROR"))</f>
        <v>94.361780884500007</v>
      </c>
      <c r="E15" s="156">
        <f>IF($B15=" ","",IFERROR(INDEX(MMWR_RATING_STATE_ROLLUP_VSC[],MATCH($B15,MMWR_RATING_STATE_ROLLUP_VSC[MMWR_RATING_STATE_ROLLUP_VSC],0),MATCH(E$9,MMWR_RATING_STATE_ROLLUP_VSC[#Headers],0))/$C15,"ERROR"))</f>
        <v>0.21997080033623856</v>
      </c>
      <c r="F15" s="154">
        <f>IF($B15=" ","",IFERROR(INDEX(MMWR_RATING_STATE_ROLLUP_VSC[],MATCH($B15,MMWR_RATING_STATE_ROLLUP_VSC[MMWR_RATING_STATE_ROLLUP_VSC],0),MATCH(F$9,MMWR_RATING_STATE_ROLLUP_VSC[#Headers],0)),"ERROR"))</f>
        <v>12223</v>
      </c>
      <c r="G15" s="154">
        <f>IF($B15=" ","",IFERROR(INDEX(MMWR_RATING_STATE_ROLLUP_VSC[],MATCH($B15,MMWR_RATING_STATE_ROLLUP_VSC[MMWR_RATING_STATE_ROLLUP_VSC],0),MATCH(G$9,MMWR_RATING_STATE_ROLLUP_VSC[#Headers],0)),"ERROR"))</f>
        <v>48828</v>
      </c>
      <c r="H15" s="155">
        <f>IF($B15=" ","",IFERROR(INDEX(MMWR_RATING_STATE_ROLLUP_VSC[],MATCH($B15,MMWR_RATING_STATE_ROLLUP_VSC[MMWR_RATING_STATE_ROLLUP_VSC],0),MATCH(H$9,MMWR_RATING_STATE_ROLLUP_VSC[#Headers],0)),"ERROR"))</f>
        <v>137.1014480897</v>
      </c>
      <c r="I15" s="155">
        <f>IF($B15=" ","",IFERROR(INDEX(MMWR_RATING_STATE_ROLLUP_VSC[],MATCH($B15,MMWR_RATING_STATE_ROLLUP_VSC[MMWR_RATING_STATE_ROLLUP_VSC],0),MATCH(I$9,MMWR_RATING_STATE_ROLLUP_VSC[#Headers],0)),"ERROR"))</f>
        <v>137.84193495540001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1937</v>
      </c>
      <c r="D16" s="155">
        <f>IF($B16=" ","",IFERROR(INDEX(MMWR_RATING_STATE_ROLLUP_VSC[],MATCH($B16,MMWR_RATING_STATE_ROLLUP_VSC[MMWR_RATING_STATE_ROLLUP_VSC],0),MATCH(D$9,MMWR_RATING_STATE_ROLLUP_VSC[#Headers],0)),"ERROR"))</f>
        <v>83.200826019600001</v>
      </c>
      <c r="E16" s="156">
        <f>IF($B16=" ","",IFERROR(INDEX(MMWR_RATING_STATE_ROLLUP_VSC[],MATCH($B16,MMWR_RATING_STATE_ROLLUP_VSC[MMWR_RATING_STATE_ROLLUP_VSC],0),MATCH(E$9,MMWR_RATING_STATE_ROLLUP_VSC[#Headers],0))/$C16,"ERROR"))</f>
        <v>0.16468766133195664</v>
      </c>
      <c r="F16" s="154">
        <f>IF($B16=" ","",IFERROR(INDEX(MMWR_RATING_STATE_ROLLUP_VSC[],MATCH($B16,MMWR_RATING_STATE_ROLLUP_VSC[MMWR_RATING_STATE_ROLLUP_VSC],0),MATCH(F$9,MMWR_RATING_STATE_ROLLUP_VSC[#Headers],0)),"ERROR"))</f>
        <v>253</v>
      </c>
      <c r="G16" s="154">
        <f>IF($B16=" ","",IFERROR(INDEX(MMWR_RATING_STATE_ROLLUP_VSC[],MATCH($B16,MMWR_RATING_STATE_ROLLUP_VSC[MMWR_RATING_STATE_ROLLUP_VSC],0),MATCH(G$9,MMWR_RATING_STATE_ROLLUP_VSC[#Headers],0)),"ERROR"))</f>
        <v>1382</v>
      </c>
      <c r="H16" s="155">
        <f>IF($B16=" ","",IFERROR(INDEX(MMWR_RATING_STATE_ROLLUP_VSC[],MATCH($B16,MMWR_RATING_STATE_ROLLUP_VSC[MMWR_RATING_STATE_ROLLUP_VSC],0),MATCH(H$9,MMWR_RATING_STATE_ROLLUP_VSC[#Headers],0)),"ERROR"))</f>
        <v>119.7628458498</v>
      </c>
      <c r="I16" s="155">
        <f>IF($B16=" ","",IFERROR(INDEX(MMWR_RATING_STATE_ROLLUP_VSC[],MATCH($B16,MMWR_RATING_STATE_ROLLUP_VSC[MMWR_RATING_STATE_ROLLUP_VSC],0),MATCH(I$9,MMWR_RATING_STATE_ROLLUP_VSC[#Headers],0)),"ERROR"))</f>
        <v>111.0976845152</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844</v>
      </c>
      <c r="D17" s="155">
        <f>IF($B17=" ","",IFERROR(INDEX(MMWR_RATING_STATE_ROLLUP_VSC[],MATCH($B17,MMWR_RATING_STATE_ROLLUP_VSC[MMWR_RATING_STATE_ROLLUP_VSC],0),MATCH(D$9,MMWR_RATING_STATE_ROLLUP_VSC[#Headers],0)),"ERROR"))</f>
        <v>106.88507109</v>
      </c>
      <c r="E17" s="156">
        <f>IF($B17=" ","",IFERROR(INDEX(MMWR_RATING_STATE_ROLLUP_VSC[],MATCH($B17,MMWR_RATING_STATE_ROLLUP_VSC[MMWR_RATING_STATE_ROLLUP_VSC],0),MATCH(E$9,MMWR_RATING_STATE_ROLLUP_VSC[#Headers],0))/$C17,"ERROR"))</f>
        <v>0.29265402843601895</v>
      </c>
      <c r="F17" s="154">
        <f>IF($B17=" ","",IFERROR(INDEX(MMWR_RATING_STATE_ROLLUP_VSC[],MATCH($B17,MMWR_RATING_STATE_ROLLUP_VSC[MMWR_RATING_STATE_ROLLUP_VSC],0),MATCH(F$9,MMWR_RATING_STATE_ROLLUP_VSC[#Headers],0)),"ERROR"))</f>
        <v>150</v>
      </c>
      <c r="G17" s="154">
        <f>IF($B17=" ","",IFERROR(INDEX(MMWR_RATING_STATE_ROLLUP_VSC[],MATCH($B17,MMWR_RATING_STATE_ROLLUP_VSC[MMWR_RATING_STATE_ROLLUP_VSC],0),MATCH(G$9,MMWR_RATING_STATE_ROLLUP_VSC[#Headers],0)),"ERROR"))</f>
        <v>645</v>
      </c>
      <c r="H17" s="155">
        <f>IF($B17=" ","",IFERROR(INDEX(MMWR_RATING_STATE_ROLLUP_VSC[],MATCH($B17,MMWR_RATING_STATE_ROLLUP_VSC[MMWR_RATING_STATE_ROLLUP_VSC],0),MATCH(H$9,MMWR_RATING_STATE_ROLLUP_VSC[#Headers],0)),"ERROR"))</f>
        <v>147.13333333329999</v>
      </c>
      <c r="I17" s="155">
        <f>IF($B17=" ","",IFERROR(INDEX(MMWR_RATING_STATE_ROLLUP_VSC[],MATCH($B17,MMWR_RATING_STATE_ROLLUP_VSC[MMWR_RATING_STATE_ROLLUP_VSC],0),MATCH(I$9,MMWR_RATING_STATE_ROLLUP_VSC[#Headers],0)),"ERROR"))</f>
        <v>142.25271317830001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378</v>
      </c>
      <c r="D18" s="155">
        <f>IF($B18=" ","",IFERROR(INDEX(MMWR_RATING_STATE_ROLLUP_VSC[],MATCH($B18,MMWR_RATING_STATE_ROLLUP_VSC[MMWR_RATING_STATE_ROLLUP_VSC],0),MATCH(D$9,MMWR_RATING_STATE_ROLLUP_VSC[#Headers],0)),"ERROR"))</f>
        <v>102.3703703704</v>
      </c>
      <c r="E18" s="156">
        <f>IF($B18=" ","",IFERROR(INDEX(MMWR_RATING_STATE_ROLLUP_VSC[],MATCH($B18,MMWR_RATING_STATE_ROLLUP_VSC[MMWR_RATING_STATE_ROLLUP_VSC],0),MATCH(E$9,MMWR_RATING_STATE_ROLLUP_VSC[#Headers],0))/$C18,"ERROR"))</f>
        <v>0.22486772486772486</v>
      </c>
      <c r="F18" s="154">
        <f>IF($B18=" ","",IFERROR(INDEX(MMWR_RATING_STATE_ROLLUP_VSC[],MATCH($B18,MMWR_RATING_STATE_ROLLUP_VSC[MMWR_RATING_STATE_ROLLUP_VSC],0),MATCH(F$9,MMWR_RATING_STATE_ROLLUP_VSC[#Headers],0)),"ERROR"))</f>
        <v>64</v>
      </c>
      <c r="G18" s="154">
        <f>IF($B18=" ","",IFERROR(INDEX(MMWR_RATING_STATE_ROLLUP_VSC[],MATCH($B18,MMWR_RATING_STATE_ROLLUP_VSC[MMWR_RATING_STATE_ROLLUP_VSC],0),MATCH(G$9,MMWR_RATING_STATE_ROLLUP_VSC[#Headers],0)),"ERROR"))</f>
        <v>290</v>
      </c>
      <c r="H18" s="155">
        <f>IF($B18=" ","",IFERROR(INDEX(MMWR_RATING_STATE_ROLLUP_VSC[],MATCH($B18,MMWR_RATING_STATE_ROLLUP_VSC[MMWR_RATING_STATE_ROLLUP_VSC],0),MATCH(H$9,MMWR_RATING_STATE_ROLLUP_VSC[#Headers],0)),"ERROR"))</f>
        <v>146.25</v>
      </c>
      <c r="I18" s="155">
        <f>IF($B18=" ","",IFERROR(INDEX(MMWR_RATING_STATE_ROLLUP_VSC[],MATCH($B18,MMWR_RATING_STATE_ROLLUP_VSC[MMWR_RATING_STATE_ROLLUP_VSC],0),MATCH(I$9,MMWR_RATING_STATE_ROLLUP_VSC[#Headers],0)),"ERROR"))</f>
        <v>150.6965517241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1265</v>
      </c>
      <c r="D19" s="155">
        <f>IF($B19=" ","",IFERROR(INDEX(MMWR_RATING_STATE_ROLLUP_VSC[],MATCH($B19,MMWR_RATING_STATE_ROLLUP_VSC[MMWR_RATING_STATE_ROLLUP_VSC],0),MATCH(D$9,MMWR_RATING_STATE_ROLLUP_VSC[#Headers],0)),"ERROR"))</f>
        <v>73.595256917</v>
      </c>
      <c r="E19" s="156">
        <f>IF($B19=" ","",IFERROR(INDEX(MMWR_RATING_STATE_ROLLUP_VSC[],MATCH($B19,MMWR_RATING_STATE_ROLLUP_VSC[MMWR_RATING_STATE_ROLLUP_VSC],0),MATCH(E$9,MMWR_RATING_STATE_ROLLUP_VSC[#Headers],0))/$C19,"ERROR"))</f>
        <v>0.13043478260869565</v>
      </c>
      <c r="F19" s="154">
        <f>IF($B19=" ","",IFERROR(INDEX(MMWR_RATING_STATE_ROLLUP_VSC[],MATCH($B19,MMWR_RATING_STATE_ROLLUP_VSC[MMWR_RATING_STATE_ROLLUP_VSC],0),MATCH(F$9,MMWR_RATING_STATE_ROLLUP_VSC[#Headers],0)),"ERROR"))</f>
        <v>265</v>
      </c>
      <c r="G19" s="154">
        <f>IF($B19=" ","",IFERROR(INDEX(MMWR_RATING_STATE_ROLLUP_VSC[],MATCH($B19,MMWR_RATING_STATE_ROLLUP_VSC[MMWR_RATING_STATE_ROLLUP_VSC],0),MATCH(G$9,MMWR_RATING_STATE_ROLLUP_VSC[#Headers],0)),"ERROR"))</f>
        <v>1130</v>
      </c>
      <c r="H19" s="155">
        <f>IF($B19=" ","",IFERROR(INDEX(MMWR_RATING_STATE_ROLLUP_VSC[],MATCH($B19,MMWR_RATING_STATE_ROLLUP_VSC[MMWR_RATING_STATE_ROLLUP_VSC],0),MATCH(H$9,MMWR_RATING_STATE_ROLLUP_VSC[#Headers],0)),"ERROR"))</f>
        <v>105.15094339620001</v>
      </c>
      <c r="I19" s="155">
        <f>IF($B19=" ","",IFERROR(INDEX(MMWR_RATING_STATE_ROLLUP_VSC[],MATCH($B19,MMWR_RATING_STATE_ROLLUP_VSC[MMWR_RATING_STATE_ROLLUP_VSC],0),MATCH(I$9,MMWR_RATING_STATE_ROLLUP_VSC[#Headers],0)),"ERROR"))</f>
        <v>105.30265486730001</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5186</v>
      </c>
      <c r="D20" s="155">
        <f>IF($B20=" ","",IFERROR(INDEX(MMWR_RATING_STATE_ROLLUP_VSC[],MATCH($B20,MMWR_RATING_STATE_ROLLUP_VSC[MMWR_RATING_STATE_ROLLUP_VSC],0),MATCH(D$9,MMWR_RATING_STATE_ROLLUP_VSC[#Headers],0)),"ERROR"))</f>
        <v>91.907443116099998</v>
      </c>
      <c r="E20" s="156">
        <f>IF($B20=" ","",IFERROR(INDEX(MMWR_RATING_STATE_ROLLUP_VSC[],MATCH($B20,MMWR_RATING_STATE_ROLLUP_VSC[MMWR_RATING_STATE_ROLLUP_VSC],0),MATCH(E$9,MMWR_RATING_STATE_ROLLUP_VSC[#Headers],0))/$C20,"ERROR"))</f>
        <v>0.19610489780177401</v>
      </c>
      <c r="F20" s="154">
        <f>IF($B20=" ","",IFERROR(INDEX(MMWR_RATING_STATE_ROLLUP_VSC[],MATCH($B20,MMWR_RATING_STATE_ROLLUP_VSC[MMWR_RATING_STATE_ROLLUP_VSC],0),MATCH(F$9,MMWR_RATING_STATE_ROLLUP_VSC[#Headers],0)),"ERROR"))</f>
        <v>971</v>
      </c>
      <c r="G20" s="154">
        <f>IF($B20=" ","",IFERROR(INDEX(MMWR_RATING_STATE_ROLLUP_VSC[],MATCH($B20,MMWR_RATING_STATE_ROLLUP_VSC[MMWR_RATING_STATE_ROLLUP_VSC],0),MATCH(G$9,MMWR_RATING_STATE_ROLLUP_VSC[#Headers],0)),"ERROR"))</f>
        <v>4015</v>
      </c>
      <c r="H20" s="155">
        <f>IF($B20=" ","",IFERROR(INDEX(MMWR_RATING_STATE_ROLLUP_VSC[],MATCH($B20,MMWR_RATING_STATE_ROLLUP_VSC[MMWR_RATING_STATE_ROLLUP_VSC],0),MATCH(H$9,MMWR_RATING_STATE_ROLLUP_VSC[#Headers],0)),"ERROR"))</f>
        <v>137.09371781670001</v>
      </c>
      <c r="I20" s="155">
        <f>IF($B20=" ","",IFERROR(INDEX(MMWR_RATING_STATE_ROLLUP_VSC[],MATCH($B20,MMWR_RATING_STATE_ROLLUP_VSC[MMWR_RATING_STATE_ROLLUP_VSC],0),MATCH(I$9,MMWR_RATING_STATE_ROLLUP_VSC[#Headers],0)),"ERROR"))</f>
        <v>137.4819427148</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4283</v>
      </c>
      <c r="D21" s="155">
        <f>IF($B21=" ","",IFERROR(INDEX(MMWR_RATING_STATE_ROLLUP_VSC[],MATCH($B21,MMWR_RATING_STATE_ROLLUP_VSC[MMWR_RATING_STATE_ROLLUP_VSC],0),MATCH(D$9,MMWR_RATING_STATE_ROLLUP_VSC[#Headers],0)),"ERROR"))</f>
        <v>97.403689002999997</v>
      </c>
      <c r="E21" s="156">
        <f>IF($B21=" ","",IFERROR(INDEX(MMWR_RATING_STATE_ROLLUP_VSC[],MATCH($B21,MMWR_RATING_STATE_ROLLUP_VSC[MMWR_RATING_STATE_ROLLUP_VSC],0),MATCH(E$9,MMWR_RATING_STATE_ROLLUP_VSC[#Headers],0))/$C21,"ERROR"))</f>
        <v>0.25262666355358393</v>
      </c>
      <c r="F21" s="154">
        <f>IF($B21=" ","",IFERROR(INDEX(MMWR_RATING_STATE_ROLLUP_VSC[],MATCH($B21,MMWR_RATING_STATE_ROLLUP_VSC[MMWR_RATING_STATE_ROLLUP_VSC],0),MATCH(F$9,MMWR_RATING_STATE_ROLLUP_VSC[#Headers],0)),"ERROR"))</f>
        <v>792</v>
      </c>
      <c r="G21" s="154">
        <f>IF($B21=" ","",IFERROR(INDEX(MMWR_RATING_STATE_ROLLUP_VSC[],MATCH($B21,MMWR_RATING_STATE_ROLLUP_VSC[MMWR_RATING_STATE_ROLLUP_VSC],0),MATCH(G$9,MMWR_RATING_STATE_ROLLUP_VSC[#Headers],0)),"ERROR"))</f>
        <v>3099</v>
      </c>
      <c r="H21" s="155">
        <f>IF($B21=" ","",IFERROR(INDEX(MMWR_RATING_STATE_ROLLUP_VSC[],MATCH($B21,MMWR_RATING_STATE_ROLLUP_VSC[MMWR_RATING_STATE_ROLLUP_VSC],0),MATCH(H$9,MMWR_RATING_STATE_ROLLUP_VSC[#Headers],0)),"ERROR"))</f>
        <v>122.6553030303</v>
      </c>
      <c r="I21" s="155">
        <f>IF($B21=" ","",IFERROR(INDEX(MMWR_RATING_STATE_ROLLUP_VSC[],MATCH($B21,MMWR_RATING_STATE_ROLLUP_VSC[MMWR_RATING_STATE_ROLLUP_VSC],0),MATCH(I$9,MMWR_RATING_STATE_ROLLUP_VSC[#Headers],0)),"ERROR"))</f>
        <v>120.8276863504</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1253</v>
      </c>
      <c r="D22" s="155">
        <f>IF($B22=" ","",IFERROR(INDEX(MMWR_RATING_STATE_ROLLUP_VSC[],MATCH($B22,MMWR_RATING_STATE_ROLLUP_VSC[MMWR_RATING_STATE_ROLLUP_VSC],0),MATCH(D$9,MMWR_RATING_STATE_ROLLUP_VSC[#Headers],0)),"ERROR"))</f>
        <v>95.987230646399993</v>
      </c>
      <c r="E22" s="156">
        <f>IF($B22=" ","",IFERROR(INDEX(MMWR_RATING_STATE_ROLLUP_VSC[],MATCH($B22,MMWR_RATING_STATE_ROLLUP_VSC[MMWR_RATING_STATE_ROLLUP_VSC],0),MATCH(E$9,MMWR_RATING_STATE_ROLLUP_VSC[#Headers],0))/$C22,"ERROR"))</f>
        <v>0.20989624900239426</v>
      </c>
      <c r="F22" s="154">
        <f>IF($B22=" ","",IFERROR(INDEX(MMWR_RATING_STATE_ROLLUP_VSC[],MATCH($B22,MMWR_RATING_STATE_ROLLUP_VSC[MMWR_RATING_STATE_ROLLUP_VSC],0),MATCH(F$9,MMWR_RATING_STATE_ROLLUP_VSC[#Headers],0)),"ERROR"))</f>
        <v>300</v>
      </c>
      <c r="G22" s="154">
        <f>IF($B22=" ","",IFERROR(INDEX(MMWR_RATING_STATE_ROLLUP_VSC[],MATCH($B22,MMWR_RATING_STATE_ROLLUP_VSC[MMWR_RATING_STATE_ROLLUP_VSC],0),MATCH(G$9,MMWR_RATING_STATE_ROLLUP_VSC[#Headers],0)),"ERROR"))</f>
        <v>920</v>
      </c>
      <c r="H22" s="155">
        <f>IF($B22=" ","",IFERROR(INDEX(MMWR_RATING_STATE_ROLLUP_VSC[],MATCH($B22,MMWR_RATING_STATE_ROLLUP_VSC[MMWR_RATING_STATE_ROLLUP_VSC],0),MATCH(H$9,MMWR_RATING_STATE_ROLLUP_VSC[#Headers],0)),"ERROR"))</f>
        <v>126.6766666667</v>
      </c>
      <c r="I22" s="155">
        <f>IF($B22=" ","",IFERROR(INDEX(MMWR_RATING_STATE_ROLLUP_VSC[],MATCH($B22,MMWR_RATING_STATE_ROLLUP_VSC[MMWR_RATING_STATE_ROLLUP_VSC],0),MATCH(I$9,MMWR_RATING_STATE_ROLLUP_VSC[#Headers],0)),"ERROR"))</f>
        <v>129.00652173910001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4079</v>
      </c>
      <c r="D23" s="155">
        <f>IF($B23=" ","",IFERROR(INDEX(MMWR_RATING_STATE_ROLLUP_VSC[],MATCH($B23,MMWR_RATING_STATE_ROLLUP_VSC[MMWR_RATING_STATE_ROLLUP_VSC],0),MATCH(D$9,MMWR_RATING_STATE_ROLLUP_VSC[#Headers],0)),"ERROR"))</f>
        <v>92.608727629300006</v>
      </c>
      <c r="E23" s="156">
        <f>IF($B23=" ","",IFERROR(INDEX(MMWR_RATING_STATE_ROLLUP_VSC[],MATCH($B23,MMWR_RATING_STATE_ROLLUP_VSC[MMWR_RATING_STATE_ROLLUP_VSC],0),MATCH(E$9,MMWR_RATING_STATE_ROLLUP_VSC[#Headers],0))/$C23,"ERROR"))</f>
        <v>0.20642314292718802</v>
      </c>
      <c r="F23" s="154">
        <f>IF($B23=" ","",IFERROR(INDEX(MMWR_RATING_STATE_ROLLUP_VSC[],MATCH($B23,MMWR_RATING_STATE_ROLLUP_VSC[MMWR_RATING_STATE_ROLLUP_VSC],0),MATCH(F$9,MMWR_RATING_STATE_ROLLUP_VSC[#Headers],0)),"ERROR"))</f>
        <v>643</v>
      </c>
      <c r="G23" s="154">
        <f>IF($B23=" ","",IFERROR(INDEX(MMWR_RATING_STATE_ROLLUP_VSC[],MATCH($B23,MMWR_RATING_STATE_ROLLUP_VSC[MMWR_RATING_STATE_ROLLUP_VSC],0),MATCH(G$9,MMWR_RATING_STATE_ROLLUP_VSC[#Headers],0)),"ERROR"))</f>
        <v>2869</v>
      </c>
      <c r="H23" s="155">
        <f>IF($B23=" ","",IFERROR(INDEX(MMWR_RATING_STATE_ROLLUP_VSC[],MATCH($B23,MMWR_RATING_STATE_ROLLUP_VSC[MMWR_RATING_STATE_ROLLUP_VSC],0),MATCH(H$9,MMWR_RATING_STATE_ROLLUP_VSC[#Headers],0)),"ERROR"))</f>
        <v>152.17262830480001</v>
      </c>
      <c r="I23" s="155">
        <f>IF($B23=" ","",IFERROR(INDEX(MMWR_RATING_STATE_ROLLUP_VSC[],MATCH($B23,MMWR_RATING_STATE_ROLLUP_VSC[MMWR_RATING_STATE_ROLLUP_VSC],0),MATCH(I$9,MMWR_RATING_STATE_ROLLUP_VSC[#Headers],0)),"ERROR"))</f>
        <v>143.84175670970001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8539</v>
      </c>
      <c r="D24" s="155">
        <f>IF($B24=" ","",IFERROR(INDEX(MMWR_RATING_STATE_ROLLUP_VSC[],MATCH($B24,MMWR_RATING_STATE_ROLLUP_VSC[MMWR_RATING_STATE_ROLLUP_VSC],0),MATCH(D$9,MMWR_RATING_STATE_ROLLUP_VSC[#Headers],0)),"ERROR"))</f>
        <v>91.654760510599999</v>
      </c>
      <c r="E24" s="156">
        <f>IF($B24=" ","",IFERROR(INDEX(MMWR_RATING_STATE_ROLLUP_VSC[],MATCH($B24,MMWR_RATING_STATE_ROLLUP_VSC[MMWR_RATING_STATE_ROLLUP_VSC],0),MATCH(E$9,MMWR_RATING_STATE_ROLLUP_VSC[#Headers],0))/$C24,"ERROR"))</f>
        <v>0.20798688371003629</v>
      </c>
      <c r="F24" s="154">
        <f>IF($B24=" ","",IFERROR(INDEX(MMWR_RATING_STATE_ROLLUP_VSC[],MATCH($B24,MMWR_RATING_STATE_ROLLUP_VSC[MMWR_RATING_STATE_ROLLUP_VSC],0),MATCH(F$9,MMWR_RATING_STATE_ROLLUP_VSC[#Headers],0)),"ERROR"))</f>
        <v>1529</v>
      </c>
      <c r="G24" s="154">
        <f>IF($B24=" ","",IFERROR(INDEX(MMWR_RATING_STATE_ROLLUP_VSC[],MATCH($B24,MMWR_RATING_STATE_ROLLUP_VSC[MMWR_RATING_STATE_ROLLUP_VSC],0),MATCH(G$9,MMWR_RATING_STATE_ROLLUP_VSC[#Headers],0)),"ERROR"))</f>
        <v>6160</v>
      </c>
      <c r="H24" s="155">
        <f>IF($B24=" ","",IFERROR(INDEX(MMWR_RATING_STATE_ROLLUP_VSC[],MATCH($B24,MMWR_RATING_STATE_ROLLUP_VSC[MMWR_RATING_STATE_ROLLUP_VSC],0),MATCH(H$9,MMWR_RATING_STATE_ROLLUP_VSC[#Headers],0)),"ERROR"))</f>
        <v>135.72400261609999</v>
      </c>
      <c r="I24" s="155">
        <f>IF($B24=" ","",IFERROR(INDEX(MMWR_RATING_STATE_ROLLUP_VSC[],MATCH($B24,MMWR_RATING_STATE_ROLLUP_VSC[MMWR_RATING_STATE_ROLLUP_VSC],0),MATCH(I$9,MMWR_RATING_STATE_ROLLUP_VSC[#Headers],0)),"ERROR"))</f>
        <v>139.0173701299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16208</v>
      </c>
      <c r="D25" s="155">
        <f>IF($B25=" ","",IFERROR(INDEX(MMWR_RATING_STATE_ROLLUP_VSC[],MATCH($B25,MMWR_RATING_STATE_ROLLUP_VSC[MMWR_RATING_STATE_ROLLUP_VSC],0),MATCH(D$9,MMWR_RATING_STATE_ROLLUP_VSC[#Headers],0)),"ERROR"))</f>
        <v>98.777208785799999</v>
      </c>
      <c r="E25" s="156">
        <f>IF($B25=" ","",IFERROR(INDEX(MMWR_RATING_STATE_ROLLUP_VSC[],MATCH($B25,MMWR_RATING_STATE_ROLLUP_VSC[MMWR_RATING_STATE_ROLLUP_VSC],0),MATCH(E$9,MMWR_RATING_STATE_ROLLUP_VSC[#Headers],0))/$C25,"ERROR"))</f>
        <v>0.25067867719644621</v>
      </c>
      <c r="F25" s="154">
        <f>IF($B25=" ","",IFERROR(INDEX(MMWR_RATING_STATE_ROLLUP_VSC[],MATCH($B25,MMWR_RATING_STATE_ROLLUP_VSC[MMWR_RATING_STATE_ROLLUP_VSC],0),MATCH(F$9,MMWR_RATING_STATE_ROLLUP_VSC[#Headers],0)),"ERROR"))</f>
        <v>3085</v>
      </c>
      <c r="G25" s="154">
        <f>IF($B25=" ","",IFERROR(INDEX(MMWR_RATING_STATE_ROLLUP_VSC[],MATCH($B25,MMWR_RATING_STATE_ROLLUP_VSC[MMWR_RATING_STATE_ROLLUP_VSC],0),MATCH(G$9,MMWR_RATING_STATE_ROLLUP_VSC[#Headers],0)),"ERROR"))</f>
        <v>11546</v>
      </c>
      <c r="H25" s="155">
        <f>IF($B25=" ","",IFERROR(INDEX(MMWR_RATING_STATE_ROLLUP_VSC[],MATCH($B25,MMWR_RATING_STATE_ROLLUP_VSC[MMWR_RATING_STATE_ROLLUP_VSC],0),MATCH(H$9,MMWR_RATING_STATE_ROLLUP_VSC[#Headers],0)),"ERROR"))</f>
        <v>137.30048622370001</v>
      </c>
      <c r="I25" s="155">
        <f>IF($B25=" ","",IFERROR(INDEX(MMWR_RATING_STATE_ROLLUP_VSC[],MATCH($B25,MMWR_RATING_STATE_ROLLUP_VSC[MMWR_RATING_STATE_ROLLUP_VSC],0),MATCH(I$9,MMWR_RATING_STATE_ROLLUP_VSC[#Headers],0)),"ERROR"))</f>
        <v>143.22362723020001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9139</v>
      </c>
      <c r="D26" s="155">
        <f>IF($B26=" ","",IFERROR(INDEX(MMWR_RATING_STATE_ROLLUP_VSC[],MATCH($B26,MMWR_RATING_STATE_ROLLUP_VSC[MMWR_RATING_STATE_ROLLUP_VSC],0),MATCH(D$9,MMWR_RATING_STATE_ROLLUP_VSC[#Headers],0)),"ERROR"))</f>
        <v>102.7574132837</v>
      </c>
      <c r="E26" s="156">
        <f>IF($B26=" ","",IFERROR(INDEX(MMWR_RATING_STATE_ROLLUP_VSC[],MATCH($B26,MMWR_RATING_STATE_ROLLUP_VSC[MMWR_RATING_STATE_ROLLUP_VSC],0),MATCH(E$9,MMWR_RATING_STATE_ROLLUP_VSC[#Headers],0))/$C26,"ERROR"))</f>
        <v>0.25779625779625781</v>
      </c>
      <c r="F26" s="154">
        <f>IF($B26=" ","",IFERROR(INDEX(MMWR_RATING_STATE_ROLLUP_VSC[],MATCH($B26,MMWR_RATING_STATE_ROLLUP_VSC[MMWR_RATING_STATE_ROLLUP_VSC],0),MATCH(F$9,MMWR_RATING_STATE_ROLLUP_VSC[#Headers],0)),"ERROR"))</f>
        <v>1693</v>
      </c>
      <c r="G26" s="154">
        <f>IF($B26=" ","",IFERROR(INDEX(MMWR_RATING_STATE_ROLLUP_VSC[],MATCH($B26,MMWR_RATING_STATE_ROLLUP_VSC[MMWR_RATING_STATE_ROLLUP_VSC],0),MATCH(G$9,MMWR_RATING_STATE_ROLLUP_VSC[#Headers],0)),"ERROR"))</f>
        <v>6705</v>
      </c>
      <c r="H26" s="155">
        <f>IF($B26=" ","",IFERROR(INDEX(MMWR_RATING_STATE_ROLLUP_VSC[],MATCH($B26,MMWR_RATING_STATE_ROLLUP_VSC[MMWR_RATING_STATE_ROLLUP_VSC],0),MATCH(H$9,MMWR_RATING_STATE_ROLLUP_VSC[#Headers],0)),"ERROR"))</f>
        <v>145.5924394566</v>
      </c>
      <c r="I26" s="155">
        <f>IF($B26=" ","",IFERROR(INDEX(MMWR_RATING_STATE_ROLLUP_VSC[],MATCH($B26,MMWR_RATING_STATE_ROLLUP_VSC[MMWR_RATING_STATE_ROLLUP_VSC],0),MATCH(I$9,MMWR_RATING_STATE_ROLLUP_VSC[#Headers],0)),"ERROR"))</f>
        <v>149.2811334825</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892</v>
      </c>
      <c r="D27" s="155">
        <f>IF($B27=" ","",IFERROR(INDEX(MMWR_RATING_STATE_ROLLUP_VSC[],MATCH($B27,MMWR_RATING_STATE_ROLLUP_VSC[MMWR_RATING_STATE_ROLLUP_VSC],0),MATCH(D$9,MMWR_RATING_STATE_ROLLUP_VSC[#Headers],0)),"ERROR"))</f>
        <v>89.645739910299994</v>
      </c>
      <c r="E27" s="156">
        <f>IF($B27=" ","",IFERROR(INDEX(MMWR_RATING_STATE_ROLLUP_VSC[],MATCH($B27,MMWR_RATING_STATE_ROLLUP_VSC[MMWR_RATING_STATE_ROLLUP_VSC],0),MATCH(E$9,MMWR_RATING_STATE_ROLLUP_VSC[#Headers],0))/$C27,"ERROR"))</f>
        <v>0.18609865470852019</v>
      </c>
      <c r="F27" s="154">
        <f>IF($B27=" ","",IFERROR(INDEX(MMWR_RATING_STATE_ROLLUP_VSC[],MATCH($B27,MMWR_RATING_STATE_ROLLUP_VSC[MMWR_RATING_STATE_ROLLUP_VSC],0),MATCH(F$9,MMWR_RATING_STATE_ROLLUP_VSC[#Headers],0)),"ERROR"))</f>
        <v>188</v>
      </c>
      <c r="G27" s="154">
        <f>IF($B27=" ","",IFERROR(INDEX(MMWR_RATING_STATE_ROLLUP_VSC[],MATCH($B27,MMWR_RATING_STATE_ROLLUP_VSC[MMWR_RATING_STATE_ROLLUP_VSC],0),MATCH(G$9,MMWR_RATING_STATE_ROLLUP_VSC[#Headers],0)),"ERROR"))</f>
        <v>704</v>
      </c>
      <c r="H27" s="155">
        <f>IF($B27=" ","",IFERROR(INDEX(MMWR_RATING_STATE_ROLLUP_VSC[],MATCH($B27,MMWR_RATING_STATE_ROLLUP_VSC[MMWR_RATING_STATE_ROLLUP_VSC],0),MATCH(H$9,MMWR_RATING_STATE_ROLLUP_VSC[#Headers],0)),"ERROR"))</f>
        <v>108.18085106380001</v>
      </c>
      <c r="I27" s="155">
        <f>IF($B27=" ","",IFERROR(INDEX(MMWR_RATING_STATE_ROLLUP_VSC[],MATCH($B27,MMWR_RATING_STATE_ROLLUP_VSC[MMWR_RATING_STATE_ROLLUP_VSC],0),MATCH(I$9,MMWR_RATING_STATE_ROLLUP_VSC[#Headers],0)),"ERROR"))</f>
        <v>110.8565340909</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524</v>
      </c>
      <c r="D28" s="155">
        <f>IF($B28=" ","",IFERROR(INDEX(MMWR_RATING_STATE_ROLLUP_VSC[],MATCH($B28,MMWR_RATING_STATE_ROLLUP_VSC[MMWR_RATING_STATE_ROLLUP_VSC],0),MATCH(D$9,MMWR_RATING_STATE_ROLLUP_VSC[#Headers],0)),"ERROR"))</f>
        <v>90.068702290100006</v>
      </c>
      <c r="E28" s="156">
        <f>IF($B28=" ","",IFERROR(INDEX(MMWR_RATING_STATE_ROLLUP_VSC[],MATCH($B28,MMWR_RATING_STATE_ROLLUP_VSC[MMWR_RATING_STATE_ROLLUP_VSC],0),MATCH(E$9,MMWR_RATING_STATE_ROLLUP_VSC[#Headers],0))/$C28,"ERROR"))</f>
        <v>0.21374045801526717</v>
      </c>
      <c r="F28" s="154">
        <f>IF($B28=" ","",IFERROR(INDEX(MMWR_RATING_STATE_ROLLUP_VSC[],MATCH($B28,MMWR_RATING_STATE_ROLLUP_VSC[MMWR_RATING_STATE_ROLLUP_VSC],0),MATCH(F$9,MMWR_RATING_STATE_ROLLUP_VSC[#Headers],0)),"ERROR"))</f>
        <v>77</v>
      </c>
      <c r="G28" s="154">
        <f>IF($B28=" ","",IFERROR(INDEX(MMWR_RATING_STATE_ROLLUP_VSC[],MATCH($B28,MMWR_RATING_STATE_ROLLUP_VSC[MMWR_RATING_STATE_ROLLUP_VSC],0),MATCH(G$9,MMWR_RATING_STATE_ROLLUP_VSC[#Headers],0)),"ERROR"))</f>
        <v>232</v>
      </c>
      <c r="H28" s="155">
        <f>IF($B28=" ","",IFERROR(INDEX(MMWR_RATING_STATE_ROLLUP_VSC[],MATCH($B28,MMWR_RATING_STATE_ROLLUP_VSC[MMWR_RATING_STATE_ROLLUP_VSC],0),MATCH(H$9,MMWR_RATING_STATE_ROLLUP_VSC[#Headers],0)),"ERROR"))</f>
        <v>143.1558441558</v>
      </c>
      <c r="I28" s="155">
        <f>IF($B28=" ","",IFERROR(INDEX(MMWR_RATING_STATE_ROLLUP_VSC[],MATCH($B28,MMWR_RATING_STATE_ROLLUP_VSC[MMWR_RATING_STATE_ROLLUP_VSC],0),MATCH(I$9,MMWR_RATING_STATE_ROLLUP_VSC[#Headers],0)),"ERROR"))</f>
        <v>134.599137931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10789</v>
      </c>
      <c r="D29" s="155">
        <f>IF($B29=" ","",IFERROR(INDEX(MMWR_RATING_STATE_ROLLUP_VSC[],MATCH($B29,MMWR_RATING_STATE_ROLLUP_VSC[MMWR_RATING_STATE_ROLLUP_VSC],0),MATCH(D$9,MMWR_RATING_STATE_ROLLUP_VSC[#Headers],0)),"ERROR"))</f>
        <v>89.372323663000003</v>
      </c>
      <c r="E29" s="156">
        <f>IF($B29=" ","",IFERROR(INDEX(MMWR_RATING_STATE_ROLLUP_VSC[],MATCH($B29,MMWR_RATING_STATE_ROLLUP_VSC[MMWR_RATING_STATE_ROLLUP_VSC],0),MATCH(E$9,MMWR_RATING_STATE_ROLLUP_VSC[#Headers],0))/$C29,"ERROR"))</f>
        <v>0.19056446380572806</v>
      </c>
      <c r="F29" s="154">
        <f>IF($B29=" ","",IFERROR(INDEX(MMWR_RATING_STATE_ROLLUP_VSC[],MATCH($B29,MMWR_RATING_STATE_ROLLUP_VSC[MMWR_RATING_STATE_ROLLUP_VSC],0),MATCH(F$9,MMWR_RATING_STATE_ROLLUP_VSC[#Headers],0)),"ERROR"))</f>
        <v>1707</v>
      </c>
      <c r="G29" s="154">
        <f>IF($B29=" ","",IFERROR(INDEX(MMWR_RATING_STATE_ROLLUP_VSC[],MATCH($B29,MMWR_RATING_STATE_ROLLUP_VSC[MMWR_RATING_STATE_ROLLUP_VSC],0),MATCH(G$9,MMWR_RATING_STATE_ROLLUP_VSC[#Headers],0)),"ERROR"))</f>
        <v>7195</v>
      </c>
      <c r="H29" s="155">
        <f>IF($B29=" ","",IFERROR(INDEX(MMWR_RATING_STATE_ROLLUP_VSC[],MATCH($B29,MMWR_RATING_STATE_ROLLUP_VSC[MMWR_RATING_STATE_ROLLUP_VSC],0),MATCH(H$9,MMWR_RATING_STATE_ROLLUP_VSC[#Headers],0)),"ERROR"))</f>
        <v>145.39835969539999</v>
      </c>
      <c r="I29" s="155">
        <f>IF($B29=" ","",IFERROR(INDEX(MMWR_RATING_STATE_ROLLUP_VSC[],MATCH($B29,MMWR_RATING_STATE_ROLLUP_VSC[MMWR_RATING_STATE_ROLLUP_VSC],0),MATCH(I$9,MMWR_RATING_STATE_ROLLUP_VSC[#Headers],0)),"ERROR"))</f>
        <v>140.8668519805</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2493</v>
      </c>
      <c r="D30" s="155">
        <f>IF($B30=" ","",IFERROR(INDEX(MMWR_RATING_STATE_ROLLUP_VSC[],MATCH($B30,MMWR_RATING_STATE_ROLLUP_VSC[MMWR_RATING_STATE_ROLLUP_VSC],0),MATCH(D$9,MMWR_RATING_STATE_ROLLUP_VSC[#Headers],0)),"ERROR"))</f>
        <v>84.0188527878</v>
      </c>
      <c r="E30" s="156">
        <f>IF($B30=" ","",IFERROR(INDEX(MMWR_RATING_STATE_ROLLUP_VSC[],MATCH($B30,MMWR_RATING_STATE_ROLLUP_VSC[MMWR_RATING_STATE_ROLLUP_VSC],0),MATCH(E$9,MMWR_RATING_STATE_ROLLUP_VSC[#Headers],0))/$C30,"ERROR"))</f>
        <v>0.14721219414360209</v>
      </c>
      <c r="F30" s="154">
        <f>IF($B30=" ","",IFERROR(INDEX(MMWR_RATING_STATE_ROLLUP_VSC[],MATCH($B30,MMWR_RATING_STATE_ROLLUP_VSC[MMWR_RATING_STATE_ROLLUP_VSC],0),MATCH(F$9,MMWR_RATING_STATE_ROLLUP_VSC[#Headers],0)),"ERROR"))</f>
        <v>506</v>
      </c>
      <c r="G30" s="154">
        <f>IF($B30=" ","",IFERROR(INDEX(MMWR_RATING_STATE_ROLLUP_VSC[],MATCH($B30,MMWR_RATING_STATE_ROLLUP_VSC[MMWR_RATING_STATE_ROLLUP_VSC],0),MATCH(G$9,MMWR_RATING_STATE_ROLLUP_VSC[#Headers],0)),"ERROR"))</f>
        <v>1936</v>
      </c>
      <c r="H30" s="155">
        <f>IF($B30=" ","",IFERROR(INDEX(MMWR_RATING_STATE_ROLLUP_VSC[],MATCH($B30,MMWR_RATING_STATE_ROLLUP_VSC[MMWR_RATING_STATE_ROLLUP_VSC],0),MATCH(H$9,MMWR_RATING_STATE_ROLLUP_VSC[#Headers],0)),"ERROR"))</f>
        <v>124.4011857708</v>
      </c>
      <c r="I30" s="155">
        <f>IF($B30=" ","",IFERROR(INDEX(MMWR_RATING_STATE_ROLLUP_VSC[],MATCH($B30,MMWR_RATING_STATE_ROLLUP_VSC[MMWR_RATING_STATE_ROLLUP_VSC],0),MATCH(I$9,MMWR_RATING_STATE_ROLLUP_VSC[#Headers],0)),"ERROR"))</f>
        <v>119.3259297521</v>
      </c>
      <c r="J30" s="42"/>
      <c r="K30" s="42"/>
      <c r="L30" s="42"/>
      <c r="M30" s="42"/>
      <c r="N30" s="28"/>
    </row>
    <row r="31" spans="1:14" x14ac:dyDescent="0.2">
      <c r="A31" s="25"/>
      <c r="B31" s="357" t="s">
        <v>959</v>
      </c>
      <c r="C31" s="358"/>
      <c r="D31" s="358"/>
      <c r="E31" s="358"/>
      <c r="F31" s="358"/>
      <c r="G31" s="358"/>
      <c r="H31" s="358"/>
      <c r="I31" s="358"/>
      <c r="J31" s="358"/>
      <c r="K31" s="358"/>
      <c r="L31" s="358"/>
      <c r="M31" s="408"/>
      <c r="N31" s="28"/>
    </row>
    <row r="32" spans="1:14" x14ac:dyDescent="0.2">
      <c r="A32" s="25"/>
      <c r="B32" s="41" t="s">
        <v>1038</v>
      </c>
      <c r="C32" s="154">
        <f>IF($B32=" ","",IFERROR(INDEX(MMWR_RATING_STATE_ROLLUP_PMC[],MATCH($B32,MMWR_RATING_STATE_ROLLUP_PMC[MMWR_RATING_STATE_ROLLUP_PMC],0),MATCH(C$9,MMWR_RATING_STATE_ROLLUP_PMC[#Headers],0)),"ERROR"))</f>
        <v>26569</v>
      </c>
      <c r="D32" s="155">
        <f>IF($B32=" ","",IFERROR(INDEX(MMWR_RATING_STATE_ROLLUP_PMC[],MATCH($B32,MMWR_RATING_STATE_ROLLUP_PMC[MMWR_RATING_STATE_ROLLUP_PMC],0),MATCH(D$9,MMWR_RATING_STATE_ROLLUP_PMC[#Headers],0)),"ERROR"))</f>
        <v>63.969739169699999</v>
      </c>
      <c r="E32" s="156">
        <f>IF($B32=" ","",IFERROR(INDEX(MMWR_RATING_STATE_ROLLUP_PMC[],MATCH($B32,MMWR_RATING_STATE_ROLLUP_PMC[MMWR_RATING_STATE_ROLLUP_PMC],0),MATCH(E$9,MMWR_RATING_STATE_ROLLUP_PMC[#Headers],0))/$C32,"ERROR"))</f>
        <v>8.7056343859385002E-2</v>
      </c>
      <c r="F32" s="154">
        <f>IF($B32=" ","",IFERROR(INDEX(MMWR_RATING_STATE_ROLLUP_PMC[],MATCH($B32,MMWR_RATING_STATE_ROLLUP_PMC[MMWR_RATING_STATE_ROLLUP_PMC],0),MATCH(F$9,MMWR_RATING_STATE_ROLLUP_PMC[#Headers],0)),"ERROR"))</f>
        <v>8191</v>
      </c>
      <c r="G32" s="154">
        <f>IF($B32=" ","",IFERROR(INDEX(MMWR_RATING_STATE_ROLLUP_PMC[],MATCH($B32,MMWR_RATING_STATE_ROLLUP_PMC[MMWR_RATING_STATE_ROLLUP_PMC],0),MATCH(G$9,MMWR_RATING_STATE_ROLLUP_PMC[#Headers],0)),"ERROR"))</f>
        <v>31743</v>
      </c>
      <c r="H32" s="155">
        <f>IF($B32=" ","",IFERROR(INDEX(MMWR_RATING_STATE_ROLLUP_PMC[],MATCH($B32,MMWR_RATING_STATE_ROLLUP_PMC[MMWR_RATING_STATE_ROLLUP_PMC],0),MATCH(H$9,MMWR_RATING_STATE_ROLLUP_PMC[#Headers],0)),"ERROR"))</f>
        <v>75.407032108400003</v>
      </c>
      <c r="I32" s="155">
        <f>IF($B32=" ","",IFERROR(INDEX(MMWR_RATING_STATE_ROLLUP_PMC[],MATCH($B32,MMWR_RATING_STATE_ROLLUP_PMC[MMWR_RATING_STATE_ROLLUP_PMC],0),MATCH(I$9,MMWR_RATING_STATE_ROLLUP_PMC[#Headers],0)),"ERROR"))</f>
        <v>71.025611945899996</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7072</v>
      </c>
      <c r="D33" s="155">
        <f>IF($B33=" ","",IFERROR(INDEX(MMWR_RATING_STATE_ROLLUP_PMC[],MATCH($B33,MMWR_RATING_STATE_ROLLUP_PMC[MMWR_RATING_STATE_ROLLUP_PMC],0),MATCH(D$9,MMWR_RATING_STATE_ROLLUP_PMC[#Headers],0)),"ERROR"))</f>
        <v>67.03125</v>
      </c>
      <c r="E33" s="156">
        <f>IF($B33=" ","",IFERROR(INDEX(MMWR_RATING_STATE_ROLLUP_PMC[],MATCH($B33,MMWR_RATING_STATE_ROLLUP_PMC[MMWR_RATING_STATE_ROLLUP_PMC],0),MATCH(E$9,MMWR_RATING_STATE_ROLLUP_PMC[#Headers],0))/$C33,"ERROR"))</f>
        <v>9.6719457013574664E-2</v>
      </c>
      <c r="F33" s="154">
        <f>IF($B33=" ","",IFERROR(INDEX(MMWR_RATING_STATE_ROLLUP_PMC[],MATCH($B33,MMWR_RATING_STATE_ROLLUP_PMC[MMWR_RATING_STATE_ROLLUP_PMC],0),MATCH(F$9,MMWR_RATING_STATE_ROLLUP_PMC[#Headers],0)),"ERROR"))</f>
        <v>1652</v>
      </c>
      <c r="G33" s="154">
        <f>IF($B33=" ","",IFERROR(INDEX(MMWR_RATING_STATE_ROLLUP_PMC[],MATCH($B33,MMWR_RATING_STATE_ROLLUP_PMC[MMWR_RATING_STATE_ROLLUP_PMC],0),MATCH(G$9,MMWR_RATING_STATE_ROLLUP_PMC[#Headers],0)),"ERROR"))</f>
        <v>6225</v>
      </c>
      <c r="H33" s="155">
        <f>IF($B33=" ","",IFERROR(INDEX(MMWR_RATING_STATE_ROLLUP_PMC[],MATCH($B33,MMWR_RATING_STATE_ROLLUP_PMC[MMWR_RATING_STATE_ROLLUP_PMC],0),MATCH(H$9,MMWR_RATING_STATE_ROLLUP_PMC[#Headers],0)),"ERROR"))</f>
        <v>84.819612590800006</v>
      </c>
      <c r="I33" s="155">
        <f>IF($B33=" ","",IFERROR(INDEX(MMWR_RATING_STATE_ROLLUP_PMC[],MATCH($B33,MMWR_RATING_STATE_ROLLUP_PMC[MMWR_RATING_STATE_ROLLUP_PMC],0),MATCH(I$9,MMWR_RATING_STATE_ROLLUP_PMC[#Headers],0)),"ERROR"))</f>
        <v>82.317911646599995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218</v>
      </c>
      <c r="D34" s="155">
        <f>IF($B34=" ","",IFERROR(INDEX(MMWR_RATING_STATE_ROLLUP_PMC[],MATCH($B34,MMWR_RATING_STATE_ROLLUP_PMC[MMWR_RATING_STATE_ROLLUP_PMC],0),MATCH(D$9,MMWR_RATING_STATE_ROLLUP_PMC[#Headers],0)),"ERROR"))</f>
        <v>69.344036697199996</v>
      </c>
      <c r="E34" s="156">
        <f>IF($B34=" ","",IFERROR(INDEX(MMWR_RATING_STATE_ROLLUP_PMC[],MATCH($B34,MMWR_RATING_STATE_ROLLUP_PMC[MMWR_RATING_STATE_ROLLUP_PMC],0),MATCH(E$9,MMWR_RATING_STATE_ROLLUP_PMC[#Headers],0))/$C34,"ERROR"))</f>
        <v>0.12385321100917432</v>
      </c>
      <c r="F34" s="154">
        <f>IF($B34=" ","",IFERROR(INDEX(MMWR_RATING_STATE_ROLLUP_PMC[],MATCH($B34,MMWR_RATING_STATE_ROLLUP_PMC[MMWR_RATING_STATE_ROLLUP_PMC],0),MATCH(F$9,MMWR_RATING_STATE_ROLLUP_PMC[#Headers],0)),"ERROR"))</f>
        <v>48</v>
      </c>
      <c r="G34" s="154">
        <f>IF($B34=" ","",IFERROR(INDEX(MMWR_RATING_STATE_ROLLUP_PMC[],MATCH($B34,MMWR_RATING_STATE_ROLLUP_PMC[MMWR_RATING_STATE_ROLLUP_PMC],0),MATCH(G$9,MMWR_RATING_STATE_ROLLUP_PMC[#Headers],0)),"ERROR"))</f>
        <v>182</v>
      </c>
      <c r="H34" s="155">
        <f>IF($B34=" ","",IFERROR(INDEX(MMWR_RATING_STATE_ROLLUP_PMC[],MATCH($B34,MMWR_RATING_STATE_ROLLUP_PMC[MMWR_RATING_STATE_ROLLUP_PMC],0),MATCH(H$9,MMWR_RATING_STATE_ROLLUP_PMC[#Headers],0)),"ERROR"))</f>
        <v>71.833333333300004</v>
      </c>
      <c r="I34" s="155">
        <f>IF($B34=" ","",IFERROR(INDEX(MMWR_RATING_STATE_ROLLUP_PMC[],MATCH($B34,MMWR_RATING_STATE_ROLLUP_PMC[MMWR_RATING_STATE_ROLLUP_PMC],0),MATCH(I$9,MMWR_RATING_STATE_ROLLUP_PMC[#Headers],0)),"ERROR"))</f>
        <v>76.851648351600005</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70</v>
      </c>
      <c r="D35" s="155">
        <f>IF($B35=" ","",IFERROR(INDEX(MMWR_RATING_STATE_ROLLUP_PMC[],MATCH($B35,MMWR_RATING_STATE_ROLLUP_PMC[MMWR_RATING_STATE_ROLLUP_PMC],0),MATCH(D$9,MMWR_RATING_STATE_ROLLUP_PMC[#Headers],0)),"ERROR"))</f>
        <v>78.071428571400006</v>
      </c>
      <c r="E35" s="156">
        <f>IF($B35=" ","",IFERROR(INDEX(MMWR_RATING_STATE_ROLLUP_PMC[],MATCH($B35,MMWR_RATING_STATE_ROLLUP_PMC[MMWR_RATING_STATE_ROLLUP_PMC],0),MATCH(E$9,MMWR_RATING_STATE_ROLLUP_PMC[#Headers],0))/$C35,"ERROR"))</f>
        <v>7.1428571428571425E-2</v>
      </c>
      <c r="F35" s="154">
        <f>IF($B35=" ","",IFERROR(INDEX(MMWR_RATING_STATE_ROLLUP_PMC[],MATCH($B35,MMWR_RATING_STATE_ROLLUP_PMC[MMWR_RATING_STATE_ROLLUP_PMC],0),MATCH(F$9,MMWR_RATING_STATE_ROLLUP_PMC[#Headers],0)),"ERROR"))</f>
        <v>17</v>
      </c>
      <c r="G35" s="154">
        <f>IF($B35=" ","",IFERROR(INDEX(MMWR_RATING_STATE_ROLLUP_PMC[],MATCH($B35,MMWR_RATING_STATE_ROLLUP_PMC[MMWR_RATING_STATE_ROLLUP_PMC],0),MATCH(G$9,MMWR_RATING_STATE_ROLLUP_PMC[#Headers],0)),"ERROR"))</f>
        <v>58</v>
      </c>
      <c r="H35" s="155">
        <f>IF($B35=" ","",IFERROR(INDEX(MMWR_RATING_STATE_ROLLUP_PMC[],MATCH($B35,MMWR_RATING_STATE_ROLLUP_PMC[MMWR_RATING_STATE_ROLLUP_PMC],0),MATCH(H$9,MMWR_RATING_STATE_ROLLUP_PMC[#Headers],0)),"ERROR"))</f>
        <v>116.76470588239999</v>
      </c>
      <c r="I35" s="155">
        <f>IF($B35=" ","",IFERROR(INDEX(MMWR_RATING_STATE_ROLLUP_PMC[],MATCH($B35,MMWR_RATING_STATE_ROLLUP_PMC[MMWR_RATING_STATE_ROLLUP_PMC],0),MATCH(I$9,MMWR_RATING_STATE_ROLLUP_PMC[#Headers],0)),"ERROR"))</f>
        <v>82.5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65</v>
      </c>
      <c r="D36" s="155">
        <f>IF($B36=" ","",IFERROR(INDEX(MMWR_RATING_STATE_ROLLUP_PMC[],MATCH($B36,MMWR_RATING_STATE_ROLLUP_PMC[MMWR_RATING_STATE_ROLLUP_PMC],0),MATCH(D$9,MMWR_RATING_STATE_ROLLUP_PMC[#Headers],0)),"ERROR"))</f>
        <v>69.676923076899996</v>
      </c>
      <c r="E36" s="156">
        <f>IF($B36=" ","",IFERROR(INDEX(MMWR_RATING_STATE_ROLLUP_PMC[],MATCH($B36,MMWR_RATING_STATE_ROLLUP_PMC[MMWR_RATING_STATE_ROLLUP_PMC],0),MATCH(E$9,MMWR_RATING_STATE_ROLLUP_PMC[#Headers],0))/$C36,"ERROR"))</f>
        <v>0.1076923076923077</v>
      </c>
      <c r="F36" s="154">
        <f>IF($B36=" ","",IFERROR(INDEX(MMWR_RATING_STATE_ROLLUP_PMC[],MATCH($B36,MMWR_RATING_STATE_ROLLUP_PMC[MMWR_RATING_STATE_ROLLUP_PMC],0),MATCH(F$9,MMWR_RATING_STATE_ROLLUP_PMC[#Headers],0)),"ERROR"))</f>
        <v>14</v>
      </c>
      <c r="G36" s="154">
        <f>IF($B36=" ","",IFERROR(INDEX(MMWR_RATING_STATE_ROLLUP_PMC[],MATCH($B36,MMWR_RATING_STATE_ROLLUP_PMC[MMWR_RATING_STATE_ROLLUP_PMC],0),MATCH(G$9,MMWR_RATING_STATE_ROLLUP_PMC[#Headers],0)),"ERROR"))</f>
        <v>65</v>
      </c>
      <c r="H36" s="155">
        <f>IF($B36=" ","",IFERROR(INDEX(MMWR_RATING_STATE_ROLLUP_PMC[],MATCH($B36,MMWR_RATING_STATE_ROLLUP_PMC[MMWR_RATING_STATE_ROLLUP_PMC],0),MATCH(H$9,MMWR_RATING_STATE_ROLLUP_PMC[#Headers],0)),"ERROR"))</f>
        <v>81.428571428599994</v>
      </c>
      <c r="I36" s="155">
        <f>IF($B36=" ","",IFERROR(INDEX(MMWR_RATING_STATE_ROLLUP_PMC[],MATCH($B36,MMWR_RATING_STATE_ROLLUP_PMC[MMWR_RATING_STATE_ROLLUP_PMC],0),MATCH(I$9,MMWR_RATING_STATE_ROLLUP_PMC[#Headers],0)),"ERROR"))</f>
        <v>85.753846153799998</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112</v>
      </c>
      <c r="D37" s="155">
        <f>IF($B37=" ","",IFERROR(INDEX(MMWR_RATING_STATE_ROLLUP_PMC[],MATCH($B37,MMWR_RATING_STATE_ROLLUP_PMC[MMWR_RATING_STATE_ROLLUP_PMC],0),MATCH(D$9,MMWR_RATING_STATE_ROLLUP_PMC[#Headers],0)),"ERROR"))</f>
        <v>68.758928571400006</v>
      </c>
      <c r="E37" s="156">
        <f>IF($B37=" ","",IFERROR(INDEX(MMWR_RATING_STATE_ROLLUP_PMC[],MATCH($B37,MMWR_RATING_STATE_ROLLUP_PMC[MMWR_RATING_STATE_ROLLUP_PMC],0),MATCH(E$9,MMWR_RATING_STATE_ROLLUP_PMC[#Headers],0))/$C37,"ERROR"))</f>
        <v>0.11607142857142858</v>
      </c>
      <c r="F37" s="154">
        <f>IF($B37=" ","",IFERROR(INDEX(MMWR_RATING_STATE_ROLLUP_PMC[],MATCH($B37,MMWR_RATING_STATE_ROLLUP_PMC[MMWR_RATING_STATE_ROLLUP_PMC],0),MATCH(F$9,MMWR_RATING_STATE_ROLLUP_PMC[#Headers],0)),"ERROR"))</f>
        <v>33</v>
      </c>
      <c r="G37" s="154">
        <f>IF($B37=" ","",IFERROR(INDEX(MMWR_RATING_STATE_ROLLUP_PMC[],MATCH($B37,MMWR_RATING_STATE_ROLLUP_PMC[MMWR_RATING_STATE_ROLLUP_PMC],0),MATCH(G$9,MMWR_RATING_STATE_ROLLUP_PMC[#Headers],0)),"ERROR"))</f>
        <v>126</v>
      </c>
      <c r="H37" s="155">
        <f>IF($B37=" ","",IFERROR(INDEX(MMWR_RATING_STATE_ROLLUP_PMC[],MATCH($B37,MMWR_RATING_STATE_ROLLUP_PMC[MMWR_RATING_STATE_ROLLUP_PMC],0),MATCH(H$9,MMWR_RATING_STATE_ROLLUP_PMC[#Headers],0)),"ERROR"))</f>
        <v>101.1818181818</v>
      </c>
      <c r="I37" s="155">
        <f>IF($B37=" ","",IFERROR(INDEX(MMWR_RATING_STATE_ROLLUP_PMC[],MATCH($B37,MMWR_RATING_STATE_ROLLUP_PMC[MMWR_RATING_STATE_ROLLUP_PMC],0),MATCH(I$9,MMWR_RATING_STATE_ROLLUP_PMC[#Headers],0)),"ERROR"))</f>
        <v>77.626984127</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487</v>
      </c>
      <c r="D38" s="155">
        <f>IF($B38=" ","",IFERROR(INDEX(MMWR_RATING_STATE_ROLLUP_PMC[],MATCH($B38,MMWR_RATING_STATE_ROLLUP_PMC[MMWR_RATING_STATE_ROLLUP_PMC],0),MATCH(D$9,MMWR_RATING_STATE_ROLLUP_PMC[#Headers],0)),"ERROR"))</f>
        <v>65.488706365499993</v>
      </c>
      <c r="E38" s="156">
        <f>IF($B38=" ","",IFERROR(INDEX(MMWR_RATING_STATE_ROLLUP_PMC[],MATCH($B38,MMWR_RATING_STATE_ROLLUP_PMC[MMWR_RATING_STATE_ROLLUP_PMC],0),MATCH(E$9,MMWR_RATING_STATE_ROLLUP_PMC[#Headers],0))/$C38,"ERROR"))</f>
        <v>9.6509240246406572E-2</v>
      </c>
      <c r="F38" s="154">
        <f>IF($B38=" ","",IFERROR(INDEX(MMWR_RATING_STATE_ROLLUP_PMC[],MATCH($B38,MMWR_RATING_STATE_ROLLUP_PMC[MMWR_RATING_STATE_ROLLUP_PMC],0),MATCH(F$9,MMWR_RATING_STATE_ROLLUP_PMC[#Headers],0)),"ERROR"))</f>
        <v>130</v>
      </c>
      <c r="G38" s="154">
        <f>IF($B38=" ","",IFERROR(INDEX(MMWR_RATING_STATE_ROLLUP_PMC[],MATCH($B38,MMWR_RATING_STATE_ROLLUP_PMC[MMWR_RATING_STATE_ROLLUP_PMC],0),MATCH(G$9,MMWR_RATING_STATE_ROLLUP_PMC[#Headers],0)),"ERROR"))</f>
        <v>403</v>
      </c>
      <c r="H38" s="155">
        <f>IF($B38=" ","",IFERROR(INDEX(MMWR_RATING_STATE_ROLLUP_PMC[],MATCH($B38,MMWR_RATING_STATE_ROLLUP_PMC[MMWR_RATING_STATE_ROLLUP_PMC],0),MATCH(H$9,MMWR_RATING_STATE_ROLLUP_PMC[#Headers],0)),"ERROR"))</f>
        <v>81.192307692300005</v>
      </c>
      <c r="I38" s="155">
        <f>IF($B38=" ","",IFERROR(INDEX(MMWR_RATING_STATE_ROLLUP_PMC[],MATCH($B38,MMWR_RATING_STATE_ROLLUP_PMC[MMWR_RATING_STATE_ROLLUP_PMC],0),MATCH(I$9,MMWR_RATING_STATE_ROLLUP_PMC[#Headers],0)),"ERROR"))</f>
        <v>82.704714640199995</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434</v>
      </c>
      <c r="D39" s="155">
        <f>IF($B39=" ","",IFERROR(INDEX(MMWR_RATING_STATE_ROLLUP_PMC[],MATCH($B39,MMWR_RATING_STATE_ROLLUP_PMC[MMWR_RATING_STATE_ROLLUP_PMC],0),MATCH(D$9,MMWR_RATING_STATE_ROLLUP_PMC[#Headers],0)),"ERROR"))</f>
        <v>63.6705069124</v>
      </c>
      <c r="E39" s="156">
        <f>IF($B39=" ","",IFERROR(INDEX(MMWR_RATING_STATE_ROLLUP_PMC[],MATCH($B39,MMWR_RATING_STATE_ROLLUP_PMC[MMWR_RATING_STATE_ROLLUP_PMC],0),MATCH(E$9,MMWR_RATING_STATE_ROLLUP_PMC[#Headers],0))/$C39,"ERROR"))</f>
        <v>7.6036866359447008E-2</v>
      </c>
      <c r="F39" s="154">
        <f>IF($B39=" ","",IFERROR(INDEX(MMWR_RATING_STATE_ROLLUP_PMC[],MATCH($B39,MMWR_RATING_STATE_ROLLUP_PMC[MMWR_RATING_STATE_ROLLUP_PMC],0),MATCH(F$9,MMWR_RATING_STATE_ROLLUP_PMC[#Headers],0)),"ERROR"))</f>
        <v>109</v>
      </c>
      <c r="G39" s="154">
        <f>IF($B39=" ","",IFERROR(INDEX(MMWR_RATING_STATE_ROLLUP_PMC[],MATCH($B39,MMWR_RATING_STATE_ROLLUP_PMC[MMWR_RATING_STATE_ROLLUP_PMC],0),MATCH(G$9,MMWR_RATING_STATE_ROLLUP_PMC[#Headers],0)),"ERROR"))</f>
        <v>405</v>
      </c>
      <c r="H39" s="155">
        <f>IF($B39=" ","",IFERROR(INDEX(MMWR_RATING_STATE_ROLLUP_PMC[],MATCH($B39,MMWR_RATING_STATE_ROLLUP_PMC[MMWR_RATING_STATE_ROLLUP_PMC],0),MATCH(H$9,MMWR_RATING_STATE_ROLLUP_PMC[#Headers],0)),"ERROR"))</f>
        <v>80.807339449500006</v>
      </c>
      <c r="I39" s="155">
        <f>IF($B39=" ","",IFERROR(INDEX(MMWR_RATING_STATE_ROLLUP_PMC[],MATCH($B39,MMWR_RATING_STATE_ROLLUP_PMC[MMWR_RATING_STATE_ROLLUP_PMC],0),MATCH(I$9,MMWR_RATING_STATE_ROLLUP_PMC[#Headers],0)),"ERROR"))</f>
        <v>81.792592592600002</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98</v>
      </c>
      <c r="D40" s="155">
        <f>IF($B40=" ","",IFERROR(INDEX(MMWR_RATING_STATE_ROLLUP_PMC[],MATCH($B40,MMWR_RATING_STATE_ROLLUP_PMC[MMWR_RATING_STATE_ROLLUP_PMC],0),MATCH(D$9,MMWR_RATING_STATE_ROLLUP_PMC[#Headers],0)),"ERROR"))</f>
        <v>64.724489795899999</v>
      </c>
      <c r="E40" s="156">
        <f>IF($B40=" ","",IFERROR(INDEX(MMWR_RATING_STATE_ROLLUP_PMC[],MATCH($B40,MMWR_RATING_STATE_ROLLUP_PMC[MMWR_RATING_STATE_ROLLUP_PMC],0),MATCH(E$9,MMWR_RATING_STATE_ROLLUP_PMC[#Headers],0))/$C40,"ERROR"))</f>
        <v>8.1632653061224483E-2</v>
      </c>
      <c r="F40" s="154">
        <f>IF($B40=" ","",IFERROR(INDEX(MMWR_RATING_STATE_ROLLUP_PMC[],MATCH($B40,MMWR_RATING_STATE_ROLLUP_PMC[MMWR_RATING_STATE_ROLLUP_PMC],0),MATCH(F$9,MMWR_RATING_STATE_ROLLUP_PMC[#Headers],0)),"ERROR"))</f>
        <v>20</v>
      </c>
      <c r="G40" s="154">
        <f>IF($B40=" ","",IFERROR(INDEX(MMWR_RATING_STATE_ROLLUP_PMC[],MATCH($B40,MMWR_RATING_STATE_ROLLUP_PMC[MMWR_RATING_STATE_ROLLUP_PMC],0),MATCH(G$9,MMWR_RATING_STATE_ROLLUP_PMC[#Headers],0)),"ERROR"))</f>
        <v>93</v>
      </c>
      <c r="H40" s="155">
        <f>IF($B40=" ","",IFERROR(INDEX(MMWR_RATING_STATE_ROLLUP_PMC[],MATCH($B40,MMWR_RATING_STATE_ROLLUP_PMC[MMWR_RATING_STATE_ROLLUP_PMC],0),MATCH(H$9,MMWR_RATING_STATE_ROLLUP_PMC[#Headers],0)),"ERROR"))</f>
        <v>93.05</v>
      </c>
      <c r="I40" s="155">
        <f>IF($B40=" ","",IFERROR(INDEX(MMWR_RATING_STATE_ROLLUP_PMC[],MATCH($B40,MMWR_RATING_STATE_ROLLUP_PMC[MMWR_RATING_STATE_ROLLUP_PMC],0),MATCH(I$9,MMWR_RATING_STATE_ROLLUP_PMC[#Headers],0)),"ERROR"))</f>
        <v>85.247311827999994</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473</v>
      </c>
      <c r="D41" s="155">
        <f>IF($B41=" ","",IFERROR(INDEX(MMWR_RATING_STATE_ROLLUP_PMC[],MATCH($B41,MMWR_RATING_STATE_ROLLUP_PMC[MMWR_RATING_STATE_ROLLUP_PMC],0),MATCH(D$9,MMWR_RATING_STATE_ROLLUP_PMC[#Headers],0)),"ERROR"))</f>
        <v>66.372093023299996</v>
      </c>
      <c r="E41" s="156">
        <f>IF($B41=" ","",IFERROR(INDEX(MMWR_RATING_STATE_ROLLUP_PMC[],MATCH($B41,MMWR_RATING_STATE_ROLLUP_PMC[MMWR_RATING_STATE_ROLLUP_PMC],0),MATCH(E$9,MMWR_RATING_STATE_ROLLUP_PMC[#Headers],0))/$C41,"ERROR"))</f>
        <v>9.9365750528541227E-2</v>
      </c>
      <c r="F41" s="154">
        <f>IF($B41=" ","",IFERROR(INDEX(MMWR_RATING_STATE_ROLLUP_PMC[],MATCH($B41,MMWR_RATING_STATE_ROLLUP_PMC[MMWR_RATING_STATE_ROLLUP_PMC],0),MATCH(F$9,MMWR_RATING_STATE_ROLLUP_PMC[#Headers],0)),"ERROR"))</f>
        <v>102</v>
      </c>
      <c r="G41" s="154">
        <f>IF($B41=" ","",IFERROR(INDEX(MMWR_RATING_STATE_ROLLUP_PMC[],MATCH($B41,MMWR_RATING_STATE_ROLLUP_PMC[MMWR_RATING_STATE_ROLLUP_PMC],0),MATCH(G$9,MMWR_RATING_STATE_ROLLUP_PMC[#Headers],0)),"ERROR"))</f>
        <v>437</v>
      </c>
      <c r="H41" s="155">
        <f>IF($B41=" ","",IFERROR(INDEX(MMWR_RATING_STATE_ROLLUP_PMC[],MATCH($B41,MMWR_RATING_STATE_ROLLUP_PMC[MMWR_RATING_STATE_ROLLUP_PMC],0),MATCH(H$9,MMWR_RATING_STATE_ROLLUP_PMC[#Headers],0)),"ERROR"))</f>
        <v>81.882352941199997</v>
      </c>
      <c r="I41" s="155">
        <f>IF($B41=" ","",IFERROR(INDEX(MMWR_RATING_STATE_ROLLUP_PMC[],MATCH($B41,MMWR_RATING_STATE_ROLLUP_PMC[MMWR_RATING_STATE_ROLLUP_PMC],0),MATCH(I$9,MMWR_RATING_STATE_ROLLUP_PMC[#Headers],0)),"ERROR"))</f>
        <v>77.633867276900006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1259</v>
      </c>
      <c r="D42" s="155">
        <f>IF($B42=" ","",IFERROR(INDEX(MMWR_RATING_STATE_ROLLUP_PMC[],MATCH($B42,MMWR_RATING_STATE_ROLLUP_PMC[MMWR_RATING_STATE_ROLLUP_PMC],0),MATCH(D$9,MMWR_RATING_STATE_ROLLUP_PMC[#Headers],0)),"ERROR"))</f>
        <v>67.536139793499999</v>
      </c>
      <c r="E42" s="156">
        <f>IF($B42=" ","",IFERROR(INDEX(MMWR_RATING_STATE_ROLLUP_PMC[],MATCH($B42,MMWR_RATING_STATE_ROLLUP_PMC[MMWR_RATING_STATE_ROLLUP_PMC],0),MATCH(E$9,MMWR_RATING_STATE_ROLLUP_PMC[#Headers],0))/$C42,"ERROR"))</f>
        <v>8.6576648133439238E-2</v>
      </c>
      <c r="F42" s="154">
        <f>IF($B42=" ","",IFERROR(INDEX(MMWR_RATING_STATE_ROLLUP_PMC[],MATCH($B42,MMWR_RATING_STATE_ROLLUP_PMC[MMWR_RATING_STATE_ROLLUP_PMC],0),MATCH(F$9,MMWR_RATING_STATE_ROLLUP_PMC[#Headers],0)),"ERROR"))</f>
        <v>291</v>
      </c>
      <c r="G42" s="154">
        <f>IF($B42=" ","",IFERROR(INDEX(MMWR_RATING_STATE_ROLLUP_PMC[],MATCH($B42,MMWR_RATING_STATE_ROLLUP_PMC[MMWR_RATING_STATE_ROLLUP_PMC],0),MATCH(G$9,MMWR_RATING_STATE_ROLLUP_PMC[#Headers],0)),"ERROR"))</f>
        <v>1076</v>
      </c>
      <c r="H42" s="155">
        <f>IF($B42=" ","",IFERROR(INDEX(MMWR_RATING_STATE_ROLLUP_PMC[],MATCH($B42,MMWR_RATING_STATE_ROLLUP_PMC[MMWR_RATING_STATE_ROLLUP_PMC],0),MATCH(H$9,MMWR_RATING_STATE_ROLLUP_PMC[#Headers],0)),"ERROR"))</f>
        <v>87.632302405499999</v>
      </c>
      <c r="I42" s="155">
        <f>IF($B42=" ","",IFERROR(INDEX(MMWR_RATING_STATE_ROLLUP_PMC[],MATCH($B42,MMWR_RATING_STATE_ROLLUP_PMC[MMWR_RATING_STATE_ROLLUP_PMC],0),MATCH(I$9,MMWR_RATING_STATE_ROLLUP_PMC[#Headers],0)),"ERROR"))</f>
        <v>81.615241635700002</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1181</v>
      </c>
      <c r="D43" s="155">
        <f>IF($B43=" ","",IFERROR(INDEX(MMWR_RATING_STATE_ROLLUP_PMC[],MATCH($B43,MMWR_RATING_STATE_ROLLUP_PMC[MMWR_RATING_STATE_ROLLUP_PMC],0),MATCH(D$9,MMWR_RATING_STATE_ROLLUP_PMC[#Headers],0)),"ERROR"))</f>
        <v>66.250635055000004</v>
      </c>
      <c r="E43" s="156">
        <f>IF($B43=" ","",IFERROR(INDEX(MMWR_RATING_STATE_ROLLUP_PMC[],MATCH($B43,MMWR_RATING_STATE_ROLLUP_PMC[MMWR_RATING_STATE_ROLLUP_PMC],0),MATCH(E$9,MMWR_RATING_STATE_ROLLUP_PMC[#Headers],0))/$C43,"ERROR"))</f>
        <v>0.10330228619813717</v>
      </c>
      <c r="F43" s="154">
        <f>IF($B43=" ","",IFERROR(INDEX(MMWR_RATING_STATE_ROLLUP_PMC[],MATCH($B43,MMWR_RATING_STATE_ROLLUP_PMC[MMWR_RATING_STATE_ROLLUP_PMC],0),MATCH(F$9,MMWR_RATING_STATE_ROLLUP_PMC[#Headers],0)),"ERROR"))</f>
        <v>288</v>
      </c>
      <c r="G43" s="154">
        <f>IF($B43=" ","",IFERROR(INDEX(MMWR_RATING_STATE_ROLLUP_PMC[],MATCH($B43,MMWR_RATING_STATE_ROLLUP_PMC[MMWR_RATING_STATE_ROLLUP_PMC],0),MATCH(G$9,MMWR_RATING_STATE_ROLLUP_PMC[#Headers],0)),"ERROR"))</f>
        <v>1049</v>
      </c>
      <c r="H43" s="155">
        <f>IF($B43=" ","",IFERROR(INDEX(MMWR_RATING_STATE_ROLLUP_PMC[],MATCH($B43,MMWR_RATING_STATE_ROLLUP_PMC[MMWR_RATING_STATE_ROLLUP_PMC],0),MATCH(H$9,MMWR_RATING_STATE_ROLLUP_PMC[#Headers],0)),"ERROR"))</f>
        <v>88.020833333300004</v>
      </c>
      <c r="I43" s="155">
        <f>IF($B43=" ","",IFERROR(INDEX(MMWR_RATING_STATE_ROLLUP_PMC[],MATCH($B43,MMWR_RATING_STATE_ROLLUP_PMC[MMWR_RATING_STATE_ROLLUP_PMC],0),MATCH(I$9,MMWR_RATING_STATE_ROLLUP_PMC[#Headers],0)),"ERROR"))</f>
        <v>81.533841754099996</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1522</v>
      </c>
      <c r="D44" s="155">
        <f>IF($B44=" ","",IFERROR(INDEX(MMWR_RATING_STATE_ROLLUP_PMC[],MATCH($B44,MMWR_RATING_STATE_ROLLUP_PMC[MMWR_RATING_STATE_ROLLUP_PMC],0),MATCH(D$9,MMWR_RATING_STATE_ROLLUP_PMC[#Headers],0)),"ERROR"))</f>
        <v>66.028252299599998</v>
      </c>
      <c r="E44" s="156">
        <f>IF($B44=" ","",IFERROR(INDEX(MMWR_RATING_STATE_ROLLUP_PMC[],MATCH($B44,MMWR_RATING_STATE_ROLLUP_PMC[MMWR_RATING_STATE_ROLLUP_PMC],0),MATCH(E$9,MMWR_RATING_STATE_ROLLUP_PMC[#Headers],0))/$C44,"ERROR"))</f>
        <v>9.1984231274638631E-2</v>
      </c>
      <c r="F44" s="154">
        <f>IF($B44=" ","",IFERROR(INDEX(MMWR_RATING_STATE_ROLLUP_PMC[],MATCH($B44,MMWR_RATING_STATE_ROLLUP_PMC[MMWR_RATING_STATE_ROLLUP_PMC],0),MATCH(F$9,MMWR_RATING_STATE_ROLLUP_PMC[#Headers],0)),"ERROR"))</f>
        <v>338</v>
      </c>
      <c r="G44" s="154">
        <f>IF($B44=" ","",IFERROR(INDEX(MMWR_RATING_STATE_ROLLUP_PMC[],MATCH($B44,MMWR_RATING_STATE_ROLLUP_PMC[MMWR_RATING_STATE_ROLLUP_PMC],0),MATCH(G$9,MMWR_RATING_STATE_ROLLUP_PMC[#Headers],0)),"ERROR"))</f>
        <v>1266</v>
      </c>
      <c r="H44" s="155">
        <f>IF($B44=" ","",IFERROR(INDEX(MMWR_RATING_STATE_ROLLUP_PMC[],MATCH($B44,MMWR_RATING_STATE_ROLLUP_PMC[MMWR_RATING_STATE_ROLLUP_PMC],0),MATCH(H$9,MMWR_RATING_STATE_ROLLUP_PMC[#Headers],0)),"ERROR"))</f>
        <v>76.026627218900003</v>
      </c>
      <c r="I44" s="155">
        <f>IF($B44=" ","",IFERROR(INDEX(MMWR_RATING_STATE_ROLLUP_PMC[],MATCH($B44,MMWR_RATING_STATE_ROLLUP_PMC[MMWR_RATING_STATE_ROLLUP_PMC],0),MATCH(I$9,MMWR_RATING_STATE_ROLLUP_PMC[#Headers],0)),"ERROR"))</f>
        <v>80.583728277999995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107</v>
      </c>
      <c r="D45" s="155">
        <f>IF($B45=" ","",IFERROR(INDEX(MMWR_RATING_STATE_ROLLUP_PMC[],MATCH($B45,MMWR_RATING_STATE_ROLLUP_PMC[MMWR_RATING_STATE_ROLLUP_PMC],0),MATCH(D$9,MMWR_RATING_STATE_ROLLUP_PMC[#Headers],0)),"ERROR"))</f>
        <v>71.588785046699996</v>
      </c>
      <c r="E45" s="156">
        <f>IF($B45=" ","",IFERROR(INDEX(MMWR_RATING_STATE_ROLLUP_PMC[],MATCH($B45,MMWR_RATING_STATE_ROLLUP_PMC[MMWR_RATING_STATE_ROLLUP_PMC],0),MATCH(E$9,MMWR_RATING_STATE_ROLLUP_PMC[#Headers],0))/$C45,"ERROR"))</f>
        <v>0.14018691588785046</v>
      </c>
      <c r="F45" s="154">
        <f>IF($B45=" ","",IFERROR(INDEX(MMWR_RATING_STATE_ROLLUP_PMC[],MATCH($B45,MMWR_RATING_STATE_ROLLUP_PMC[MMWR_RATING_STATE_ROLLUP_PMC],0),MATCH(F$9,MMWR_RATING_STATE_ROLLUP_PMC[#Headers],0)),"ERROR"))</f>
        <v>26</v>
      </c>
      <c r="G45" s="154">
        <f>IF($B45=" ","",IFERROR(INDEX(MMWR_RATING_STATE_ROLLUP_PMC[],MATCH($B45,MMWR_RATING_STATE_ROLLUP_PMC[MMWR_RATING_STATE_ROLLUP_PMC],0),MATCH(G$9,MMWR_RATING_STATE_ROLLUP_PMC[#Headers],0)),"ERROR"))</f>
        <v>113</v>
      </c>
      <c r="H45" s="155">
        <f>IF($B45=" ","",IFERROR(INDEX(MMWR_RATING_STATE_ROLLUP_PMC[],MATCH($B45,MMWR_RATING_STATE_ROLLUP_PMC[MMWR_RATING_STATE_ROLLUP_PMC],0),MATCH(H$9,MMWR_RATING_STATE_ROLLUP_PMC[#Headers],0)),"ERROR"))</f>
        <v>101.80769230769999</v>
      </c>
      <c r="I45" s="155">
        <f>IF($B45=" ","",IFERROR(INDEX(MMWR_RATING_STATE_ROLLUP_PMC[],MATCH($B45,MMWR_RATING_STATE_ROLLUP_PMC[MMWR_RATING_STATE_ROLLUP_PMC],0),MATCH(I$9,MMWR_RATING_STATE_ROLLUP_PMC[#Headers],0)),"ERROR"))</f>
        <v>88.203539823</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44</v>
      </c>
      <c r="D46" s="155">
        <f>IF($B46=" ","",IFERROR(INDEX(MMWR_RATING_STATE_ROLLUP_PMC[],MATCH($B46,MMWR_RATING_STATE_ROLLUP_PMC[MMWR_RATING_STATE_ROLLUP_PMC],0),MATCH(D$9,MMWR_RATING_STATE_ROLLUP_PMC[#Headers],0)),"ERROR"))</f>
        <v>62.7045454545</v>
      </c>
      <c r="E46" s="156">
        <f>IF($B46=" ","",IFERROR(INDEX(MMWR_RATING_STATE_ROLLUP_PMC[],MATCH($B46,MMWR_RATING_STATE_ROLLUP_PMC[MMWR_RATING_STATE_ROLLUP_PMC],0),MATCH(E$9,MMWR_RATING_STATE_ROLLUP_PMC[#Headers],0))/$C46,"ERROR"))</f>
        <v>6.8181818181818177E-2</v>
      </c>
      <c r="F46" s="154">
        <f>IF($B46=" ","",IFERROR(INDEX(MMWR_RATING_STATE_ROLLUP_PMC[],MATCH($B46,MMWR_RATING_STATE_ROLLUP_PMC[MMWR_RATING_STATE_ROLLUP_PMC],0),MATCH(F$9,MMWR_RATING_STATE_ROLLUP_PMC[#Headers],0)),"ERROR"))</f>
        <v>4</v>
      </c>
      <c r="G46" s="154">
        <f>IF($B46=" ","",IFERROR(INDEX(MMWR_RATING_STATE_ROLLUP_PMC[],MATCH($B46,MMWR_RATING_STATE_ROLLUP_PMC[MMWR_RATING_STATE_ROLLUP_PMC],0),MATCH(G$9,MMWR_RATING_STATE_ROLLUP_PMC[#Headers],0)),"ERROR"))</f>
        <v>24</v>
      </c>
      <c r="H46" s="155">
        <f>IF($B46=" ","",IFERROR(INDEX(MMWR_RATING_STATE_ROLLUP_PMC[],MATCH($B46,MMWR_RATING_STATE_ROLLUP_PMC[MMWR_RATING_STATE_ROLLUP_PMC],0),MATCH(H$9,MMWR_RATING_STATE_ROLLUP_PMC[#Headers],0)),"ERROR"))</f>
        <v>107.5</v>
      </c>
      <c r="I46" s="155">
        <f>IF($B46=" ","",IFERROR(INDEX(MMWR_RATING_STATE_ROLLUP_PMC[],MATCH($B46,MMWR_RATING_STATE_ROLLUP_PMC[MMWR_RATING_STATE_ROLLUP_PMC],0),MATCH(I$9,MMWR_RATING_STATE_ROLLUP_PMC[#Headers],0)),"ERROR"))</f>
        <v>93.666666666699996</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755</v>
      </c>
      <c r="D47" s="155">
        <f>IF($B47=" ","",IFERROR(INDEX(MMWR_RATING_STATE_ROLLUP_PMC[],MATCH($B47,MMWR_RATING_STATE_ROLLUP_PMC[MMWR_RATING_STATE_ROLLUP_PMC],0),MATCH(D$9,MMWR_RATING_STATE_ROLLUP_PMC[#Headers],0)),"ERROR"))</f>
        <v>68.736423841100006</v>
      </c>
      <c r="E47" s="156">
        <f>IF($B47=" ","",IFERROR(INDEX(MMWR_RATING_STATE_ROLLUP_PMC[],MATCH($B47,MMWR_RATING_STATE_ROLLUP_PMC[MMWR_RATING_STATE_ROLLUP_PMC],0),MATCH(E$9,MMWR_RATING_STATE_ROLLUP_PMC[#Headers],0))/$C47,"ERROR"))</f>
        <v>0.10993377483443709</v>
      </c>
      <c r="F47" s="154">
        <f>IF($B47=" ","",IFERROR(INDEX(MMWR_RATING_STATE_ROLLUP_PMC[],MATCH($B47,MMWR_RATING_STATE_ROLLUP_PMC[MMWR_RATING_STATE_ROLLUP_PMC],0),MATCH(F$9,MMWR_RATING_STATE_ROLLUP_PMC[#Headers],0)),"ERROR"))</f>
        <v>169</v>
      </c>
      <c r="G47" s="154">
        <f>IF($B47=" ","",IFERROR(INDEX(MMWR_RATING_STATE_ROLLUP_PMC[],MATCH($B47,MMWR_RATING_STATE_ROLLUP_PMC[MMWR_RATING_STATE_ROLLUP_PMC],0),MATCH(G$9,MMWR_RATING_STATE_ROLLUP_PMC[#Headers],0)),"ERROR"))</f>
        <v>694</v>
      </c>
      <c r="H47" s="155">
        <f>IF($B47=" ","",IFERROR(INDEX(MMWR_RATING_STATE_ROLLUP_PMC[],MATCH($B47,MMWR_RATING_STATE_ROLLUP_PMC[MMWR_RATING_STATE_ROLLUP_PMC],0),MATCH(H$9,MMWR_RATING_STATE_ROLLUP_PMC[#Headers],0)),"ERROR"))</f>
        <v>90.272189349100003</v>
      </c>
      <c r="I47" s="155">
        <f>IF($B47=" ","",IFERROR(INDEX(MMWR_RATING_STATE_ROLLUP_PMC[],MATCH($B47,MMWR_RATING_STATE_ROLLUP_PMC[MMWR_RATING_STATE_ROLLUP_PMC],0),MATCH(I$9,MMWR_RATING_STATE_ROLLUP_PMC[#Headers],0)),"ERROR"))</f>
        <v>90.247838616699994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247</v>
      </c>
      <c r="D48" s="155">
        <f>IF($B48=" ","",IFERROR(INDEX(MMWR_RATING_STATE_ROLLUP_PMC[],MATCH($B48,MMWR_RATING_STATE_ROLLUP_PMC[MMWR_RATING_STATE_ROLLUP_PMC],0),MATCH(D$9,MMWR_RATING_STATE_ROLLUP_PMC[#Headers],0)),"ERROR"))</f>
        <v>72.429149797600004</v>
      </c>
      <c r="E48" s="156">
        <f>IF($B48=" ","",IFERROR(INDEX(MMWR_RATING_STATE_ROLLUP_PMC[],MATCH($B48,MMWR_RATING_STATE_ROLLUP_PMC[MMWR_RATING_STATE_ROLLUP_PMC],0),MATCH(E$9,MMWR_RATING_STATE_ROLLUP_PMC[#Headers],0))/$C48,"ERROR"))</f>
        <v>0.10121457489878542</v>
      </c>
      <c r="F48" s="154">
        <f>IF($B48=" ","",IFERROR(INDEX(MMWR_RATING_STATE_ROLLUP_PMC[],MATCH($B48,MMWR_RATING_STATE_ROLLUP_PMC[MMWR_RATING_STATE_ROLLUP_PMC],0),MATCH(F$9,MMWR_RATING_STATE_ROLLUP_PMC[#Headers],0)),"ERROR"))</f>
        <v>63</v>
      </c>
      <c r="G48" s="154">
        <f>IF($B48=" ","",IFERROR(INDEX(MMWR_RATING_STATE_ROLLUP_PMC[],MATCH($B48,MMWR_RATING_STATE_ROLLUP_PMC[MMWR_RATING_STATE_ROLLUP_PMC],0),MATCH(G$9,MMWR_RATING_STATE_ROLLUP_PMC[#Headers],0)),"ERROR"))</f>
        <v>234</v>
      </c>
      <c r="H48" s="155">
        <f>IF($B48=" ","",IFERROR(INDEX(MMWR_RATING_STATE_ROLLUP_PMC[],MATCH($B48,MMWR_RATING_STATE_ROLLUP_PMC[MMWR_RATING_STATE_ROLLUP_PMC],0),MATCH(H$9,MMWR_RATING_STATE_ROLLUP_PMC[#Headers],0)),"ERROR"))</f>
        <v>91.317460317499993</v>
      </c>
      <c r="I48" s="155">
        <f>IF($B48=" ","",IFERROR(INDEX(MMWR_RATING_STATE_ROLLUP_PMC[],MATCH($B48,MMWR_RATING_STATE_ROLLUP_PMC[MMWR_RATING_STATE_ROLLUP_PMC],0),MATCH(I$9,MMWR_RATING_STATE_ROLLUP_PMC[#Headers],0)),"ERROR"))</f>
        <v>84.525641025599995</v>
      </c>
      <c r="J48" s="42"/>
      <c r="K48" s="42"/>
      <c r="L48" s="42"/>
      <c r="M48" s="42"/>
      <c r="N48" s="28"/>
    </row>
    <row r="49" spans="1:14" x14ac:dyDescent="0.2">
      <c r="A49" s="25"/>
      <c r="B49" s="357" t="s">
        <v>1040</v>
      </c>
      <c r="C49" s="358"/>
      <c r="D49" s="358"/>
      <c r="E49" s="358"/>
      <c r="F49" s="358"/>
      <c r="G49" s="358"/>
      <c r="H49" s="358"/>
      <c r="I49" s="358"/>
      <c r="J49" s="358"/>
      <c r="K49" s="358"/>
      <c r="L49" s="358"/>
      <c r="M49" s="408"/>
      <c r="N49" s="28"/>
    </row>
    <row r="50" spans="1:14" x14ac:dyDescent="0.2">
      <c r="A50" s="25"/>
      <c r="B50" s="41" t="s">
        <v>1039</v>
      </c>
      <c r="C50" s="154">
        <f>IF($B50=" ","",IFERROR(INDEX(MMWR_RATING_STATE_ROLLUP_QST[],MATCH($B50,MMWR_RATING_STATE_ROLLUP_QST[MMWR_RATING_STATE_ROLLUP_QST],0),MATCH(C$9,MMWR_RATING_STATE_ROLLUP_QST[#Headers],0)),"ERROR"))</f>
        <v>10569</v>
      </c>
      <c r="D50" s="155">
        <f>IF($B50=" ","",IFERROR(INDEX(MMWR_RATING_STATE_ROLLUP_QST[],MATCH($B50,MMWR_RATING_STATE_ROLLUP_QST[MMWR_RATING_STATE_ROLLUP_QST],0),MATCH(D$9,MMWR_RATING_STATE_ROLLUP_QST[#Headers],0)),"ERROR"))</f>
        <v>81.9196707352</v>
      </c>
      <c r="E50" s="156">
        <f>IF($B50=" ","",IFERROR(INDEX(MMWR_RATING_STATE_ROLLUP_QST[],MATCH($B50,MMWR_RATING_STATE_ROLLUP_QST[MMWR_RATING_STATE_ROLLUP_QST],0),MATCH(E$9,MMWR_RATING_STATE_ROLLUP_QST[#Headers],0))/$C50,"ERROR"))</f>
        <v>0.1730532689942284</v>
      </c>
      <c r="F50" s="154">
        <f>IF($B50=" ","",IFERROR(INDEX(MMWR_RATING_STATE_ROLLUP_QST[],MATCH($B50,MMWR_RATING_STATE_ROLLUP_QST[MMWR_RATING_STATE_ROLLUP_QST],0),MATCH(F$9,MMWR_RATING_STATE_ROLLUP_QST[#Headers],0)),"ERROR"))</f>
        <v>1203</v>
      </c>
      <c r="G50" s="154">
        <f>IF($B50=" ","",IFERROR(INDEX(MMWR_RATING_STATE_ROLLUP_QST[],MATCH($B50,MMWR_RATING_STATE_ROLLUP_QST[MMWR_RATING_STATE_ROLLUP_QST],0),MATCH(G$9,MMWR_RATING_STATE_ROLLUP_QST[#Headers],0)),"ERROR"))</f>
        <v>4209</v>
      </c>
      <c r="H50" s="155">
        <f>IF($B50=" ","",IFERROR(INDEX(MMWR_RATING_STATE_ROLLUP_QST[],MATCH($B50,MMWR_RATING_STATE_ROLLUP_QST[MMWR_RATING_STATE_ROLLUP_QST],0),MATCH(H$9,MMWR_RATING_STATE_ROLLUP_QST[#Headers],0)),"ERROR"))</f>
        <v>145.33416458849999</v>
      </c>
      <c r="I50" s="155">
        <f>IF($B50=" ","",IFERROR(INDEX(MMWR_RATING_STATE_ROLLUP_QST[],MATCH($B50,MMWR_RATING_STATE_ROLLUP_QST[MMWR_RATING_STATE_ROLLUP_QST],0),MATCH(I$9,MMWR_RATING_STATE_ROLLUP_QST[#Headers],0)),"ERROR"))</f>
        <v>138.48372535039999</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2502</v>
      </c>
      <c r="D51" s="155">
        <f>IF($B51=" ","",IFERROR(INDEX(MMWR_RATING_STATE_ROLLUP_QST[],MATCH($B51,MMWR_RATING_STATE_ROLLUP_QST[MMWR_RATING_STATE_ROLLUP_QST],0),MATCH(D$9,MMWR_RATING_STATE_ROLLUP_QST[#Headers],0)),"ERROR"))</f>
        <v>84.803357314099998</v>
      </c>
      <c r="E51" s="156">
        <f>IF($B51=" ","",IFERROR(INDEX(MMWR_RATING_STATE_ROLLUP_QST[],MATCH($B51,MMWR_RATING_STATE_ROLLUP_QST[MMWR_RATING_STATE_ROLLUP_QST],0),MATCH(E$9,MMWR_RATING_STATE_ROLLUP_QST[#Headers],0))/$C51,"ERROR"))</f>
        <v>0.19984012789768185</v>
      </c>
      <c r="F51" s="154">
        <f>IF($B51=" ","",IFERROR(INDEX(MMWR_RATING_STATE_ROLLUP_QST[],MATCH($B51,MMWR_RATING_STATE_ROLLUP_QST[MMWR_RATING_STATE_ROLLUP_QST],0),MATCH(F$9,MMWR_RATING_STATE_ROLLUP_QST[#Headers],0)),"ERROR"))</f>
        <v>288</v>
      </c>
      <c r="G51" s="154">
        <f>IF($B51=" ","",IFERROR(INDEX(MMWR_RATING_STATE_ROLLUP_QST[],MATCH($B51,MMWR_RATING_STATE_ROLLUP_QST[MMWR_RATING_STATE_ROLLUP_QST],0),MATCH(G$9,MMWR_RATING_STATE_ROLLUP_QST[#Headers],0)),"ERROR"))</f>
        <v>955</v>
      </c>
      <c r="H51" s="155">
        <f>IF($B51=" ","",IFERROR(INDEX(MMWR_RATING_STATE_ROLLUP_QST[],MATCH($B51,MMWR_RATING_STATE_ROLLUP_QST[MMWR_RATING_STATE_ROLLUP_QST],0),MATCH(H$9,MMWR_RATING_STATE_ROLLUP_QST[#Headers],0)),"ERROR"))</f>
        <v>152.9340277778</v>
      </c>
      <c r="I51" s="155">
        <f>IF($B51=" ","",IFERROR(INDEX(MMWR_RATING_STATE_ROLLUP_QST[],MATCH($B51,MMWR_RATING_STATE_ROLLUP_QST[MMWR_RATING_STATE_ROLLUP_QST],0),MATCH(I$9,MMWR_RATING_STATE_ROLLUP_QST[#Headers],0)),"ERROR"))</f>
        <v>145.63455497379999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53</v>
      </c>
      <c r="D52" s="155">
        <f>IF($B52=" ","",IFERROR(INDEX(MMWR_RATING_STATE_ROLLUP_QST[],MATCH($B52,MMWR_RATING_STATE_ROLLUP_QST[MMWR_RATING_STATE_ROLLUP_QST],0),MATCH(D$9,MMWR_RATING_STATE_ROLLUP_QST[#Headers],0)),"ERROR"))</f>
        <v>84.735849056600003</v>
      </c>
      <c r="E52" s="156">
        <f>IF($B52=" ","",IFERROR(INDEX(MMWR_RATING_STATE_ROLLUP_QST[],MATCH($B52,MMWR_RATING_STATE_ROLLUP_QST[MMWR_RATING_STATE_ROLLUP_QST],0),MATCH(E$9,MMWR_RATING_STATE_ROLLUP_QST[#Headers],0))/$C52,"ERROR"))</f>
        <v>0.18867924528301888</v>
      </c>
      <c r="F52" s="154">
        <f>IF($B52=" ","",IFERROR(INDEX(MMWR_RATING_STATE_ROLLUP_QST[],MATCH($B52,MMWR_RATING_STATE_ROLLUP_QST[MMWR_RATING_STATE_ROLLUP_QST],0),MATCH(F$9,MMWR_RATING_STATE_ROLLUP_QST[#Headers],0)),"ERROR"))</f>
        <v>9</v>
      </c>
      <c r="G52" s="154">
        <f>IF($B52=" ","",IFERROR(INDEX(MMWR_RATING_STATE_ROLLUP_QST[],MATCH($B52,MMWR_RATING_STATE_ROLLUP_QST[MMWR_RATING_STATE_ROLLUP_QST],0),MATCH(G$9,MMWR_RATING_STATE_ROLLUP_QST[#Headers],0)),"ERROR"))</f>
        <v>28</v>
      </c>
      <c r="H52" s="155">
        <f>IF($B52=" ","",IFERROR(INDEX(MMWR_RATING_STATE_ROLLUP_QST[],MATCH($B52,MMWR_RATING_STATE_ROLLUP_QST[MMWR_RATING_STATE_ROLLUP_QST],0),MATCH(H$9,MMWR_RATING_STATE_ROLLUP_QST[#Headers],0)),"ERROR"))</f>
        <v>136.3333333333</v>
      </c>
      <c r="I52" s="155">
        <f>IF($B52=" ","",IFERROR(INDEX(MMWR_RATING_STATE_ROLLUP_QST[],MATCH($B52,MMWR_RATING_STATE_ROLLUP_QST[MMWR_RATING_STATE_ROLLUP_QST],0),MATCH(I$9,MMWR_RATING_STATE_ROLLUP_QST[#Headers],0)),"ERROR"))</f>
        <v>125.8928571429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20</v>
      </c>
      <c r="D53" s="155">
        <f>IF($B53=" ","",IFERROR(INDEX(MMWR_RATING_STATE_ROLLUP_QST[],MATCH($B53,MMWR_RATING_STATE_ROLLUP_QST[MMWR_RATING_STATE_ROLLUP_QST],0),MATCH(D$9,MMWR_RATING_STATE_ROLLUP_QST[#Headers],0)),"ERROR"))</f>
        <v>82</v>
      </c>
      <c r="E53" s="156">
        <f>IF($B53=" ","",IFERROR(INDEX(MMWR_RATING_STATE_ROLLUP_QST[],MATCH($B53,MMWR_RATING_STATE_ROLLUP_QST[MMWR_RATING_STATE_ROLLUP_QST],0),MATCH(E$9,MMWR_RATING_STATE_ROLLUP_QST[#Headers],0))/$C53,"ERROR"))</f>
        <v>0.15</v>
      </c>
      <c r="F53" s="154">
        <f>IF($B53=" ","",IFERROR(INDEX(MMWR_RATING_STATE_ROLLUP_QST[],MATCH($B53,MMWR_RATING_STATE_ROLLUP_QST[MMWR_RATING_STATE_ROLLUP_QST],0),MATCH(F$9,MMWR_RATING_STATE_ROLLUP_QST[#Headers],0)),"ERROR"))</f>
        <v>2</v>
      </c>
      <c r="G53" s="154">
        <f>IF($B53=" ","",IFERROR(INDEX(MMWR_RATING_STATE_ROLLUP_QST[],MATCH($B53,MMWR_RATING_STATE_ROLLUP_QST[MMWR_RATING_STATE_ROLLUP_QST],0),MATCH(G$9,MMWR_RATING_STATE_ROLLUP_QST[#Headers],0)),"ERROR"))</f>
        <v>10</v>
      </c>
      <c r="H53" s="155">
        <f>IF($B53=" ","",IFERROR(INDEX(MMWR_RATING_STATE_ROLLUP_QST[],MATCH($B53,MMWR_RATING_STATE_ROLLUP_QST[MMWR_RATING_STATE_ROLLUP_QST],0),MATCH(H$9,MMWR_RATING_STATE_ROLLUP_QST[#Headers],0)),"ERROR"))</f>
        <v>142.5</v>
      </c>
      <c r="I53" s="155">
        <f>IF($B53=" ","",IFERROR(INDEX(MMWR_RATING_STATE_ROLLUP_QST[],MATCH($B53,MMWR_RATING_STATE_ROLLUP_QST[MMWR_RATING_STATE_ROLLUP_QST],0),MATCH(I$9,MMWR_RATING_STATE_ROLLUP_QST[#Headers],0)),"ERROR"))</f>
        <v>148.1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25</v>
      </c>
      <c r="D54" s="155">
        <f>IF($B54=" ","",IFERROR(INDEX(MMWR_RATING_STATE_ROLLUP_QST[],MATCH($B54,MMWR_RATING_STATE_ROLLUP_QST[MMWR_RATING_STATE_ROLLUP_QST],0),MATCH(D$9,MMWR_RATING_STATE_ROLLUP_QST[#Headers],0)),"ERROR"))</f>
        <v>84.56</v>
      </c>
      <c r="E54" s="156">
        <f>IF($B54=" ","",IFERROR(INDEX(MMWR_RATING_STATE_ROLLUP_QST[],MATCH($B54,MMWR_RATING_STATE_ROLLUP_QST[MMWR_RATING_STATE_ROLLUP_QST],0),MATCH(E$9,MMWR_RATING_STATE_ROLLUP_QST[#Headers],0))/$C54,"ERROR"))</f>
        <v>0.24</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6</v>
      </c>
      <c r="H54" s="155">
        <f>IF($B54=" ","",IFERROR(INDEX(MMWR_RATING_STATE_ROLLUP_QST[],MATCH($B54,MMWR_RATING_STATE_ROLLUP_QST[MMWR_RATING_STATE_ROLLUP_QST],0),MATCH(H$9,MMWR_RATING_STATE_ROLLUP_QST[#Headers],0)),"ERROR"))</f>
        <v>149.5</v>
      </c>
      <c r="I54" s="155">
        <f>IF($B54=" ","",IFERROR(INDEX(MMWR_RATING_STATE_ROLLUP_QST[],MATCH($B54,MMWR_RATING_STATE_ROLLUP_QST[MMWR_RATING_STATE_ROLLUP_QST],0),MATCH(I$9,MMWR_RATING_STATE_ROLLUP_QST[#Headers],0)),"ERROR"))</f>
        <v>145.6666666667</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34</v>
      </c>
      <c r="D55" s="155">
        <f>IF($B55=" ","",IFERROR(INDEX(MMWR_RATING_STATE_ROLLUP_QST[],MATCH($B55,MMWR_RATING_STATE_ROLLUP_QST[MMWR_RATING_STATE_ROLLUP_QST],0),MATCH(D$9,MMWR_RATING_STATE_ROLLUP_QST[#Headers],0)),"ERROR"))</f>
        <v>79.764705882399994</v>
      </c>
      <c r="E55" s="156">
        <f>IF($B55=" ","",IFERROR(INDEX(MMWR_RATING_STATE_ROLLUP_QST[],MATCH($B55,MMWR_RATING_STATE_ROLLUP_QST[MMWR_RATING_STATE_ROLLUP_QST],0),MATCH(E$9,MMWR_RATING_STATE_ROLLUP_QST[#Headers],0))/$C55,"ERROR"))</f>
        <v>0.14705882352941177</v>
      </c>
      <c r="F55" s="154">
        <f>IF($B55=" ","",IFERROR(INDEX(MMWR_RATING_STATE_ROLLUP_QST[],MATCH($B55,MMWR_RATING_STATE_ROLLUP_QST[MMWR_RATING_STATE_ROLLUP_QST],0),MATCH(F$9,MMWR_RATING_STATE_ROLLUP_QST[#Headers],0)),"ERROR"))</f>
        <v>3</v>
      </c>
      <c r="G55" s="154">
        <f>IF($B55=" ","",IFERROR(INDEX(MMWR_RATING_STATE_ROLLUP_QST[],MATCH($B55,MMWR_RATING_STATE_ROLLUP_QST[MMWR_RATING_STATE_ROLLUP_QST],0),MATCH(G$9,MMWR_RATING_STATE_ROLLUP_QST[#Headers],0)),"ERROR"))</f>
        <v>7</v>
      </c>
      <c r="H55" s="155">
        <f>IF($B55=" ","",IFERROR(INDEX(MMWR_RATING_STATE_ROLLUP_QST[],MATCH($B55,MMWR_RATING_STATE_ROLLUP_QST[MMWR_RATING_STATE_ROLLUP_QST],0),MATCH(H$9,MMWR_RATING_STATE_ROLLUP_QST[#Headers],0)),"ERROR"))</f>
        <v>153.6666666667</v>
      </c>
      <c r="I55" s="155">
        <f>IF($B55=" ","",IFERROR(INDEX(MMWR_RATING_STATE_ROLLUP_QST[],MATCH($B55,MMWR_RATING_STATE_ROLLUP_QST[MMWR_RATING_STATE_ROLLUP_QST],0),MATCH(I$9,MMWR_RATING_STATE_ROLLUP_QST[#Headers],0)),"ERROR"))</f>
        <v>150.1428571429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262</v>
      </c>
      <c r="D56" s="155">
        <f>IF($B56=" ","",IFERROR(INDEX(MMWR_RATING_STATE_ROLLUP_QST[],MATCH($B56,MMWR_RATING_STATE_ROLLUP_QST[MMWR_RATING_STATE_ROLLUP_QST],0),MATCH(D$9,MMWR_RATING_STATE_ROLLUP_QST[#Headers],0)),"ERROR"))</f>
        <v>89.038167938900003</v>
      </c>
      <c r="E56" s="156">
        <f>IF($B56=" ","",IFERROR(INDEX(MMWR_RATING_STATE_ROLLUP_QST[],MATCH($B56,MMWR_RATING_STATE_ROLLUP_QST[MMWR_RATING_STATE_ROLLUP_QST],0),MATCH(E$9,MMWR_RATING_STATE_ROLLUP_QST[#Headers],0))/$C56,"ERROR"))</f>
        <v>0.23282442748091603</v>
      </c>
      <c r="F56" s="154">
        <f>IF($B56=" ","",IFERROR(INDEX(MMWR_RATING_STATE_ROLLUP_QST[],MATCH($B56,MMWR_RATING_STATE_ROLLUP_QST[MMWR_RATING_STATE_ROLLUP_QST],0),MATCH(F$9,MMWR_RATING_STATE_ROLLUP_QST[#Headers],0)),"ERROR"))</f>
        <v>32</v>
      </c>
      <c r="G56" s="154">
        <f>IF($B56=" ","",IFERROR(INDEX(MMWR_RATING_STATE_ROLLUP_QST[],MATCH($B56,MMWR_RATING_STATE_ROLLUP_QST[MMWR_RATING_STATE_ROLLUP_QST],0),MATCH(G$9,MMWR_RATING_STATE_ROLLUP_QST[#Headers],0)),"ERROR"))</f>
        <v>104</v>
      </c>
      <c r="H56" s="155">
        <f>IF($B56=" ","",IFERROR(INDEX(MMWR_RATING_STATE_ROLLUP_QST[],MATCH($B56,MMWR_RATING_STATE_ROLLUP_QST[MMWR_RATING_STATE_ROLLUP_QST],0),MATCH(H$9,MMWR_RATING_STATE_ROLLUP_QST[#Headers],0)),"ERROR"))</f>
        <v>155.625</v>
      </c>
      <c r="I56" s="155">
        <f>IF($B56=" ","",IFERROR(INDEX(MMWR_RATING_STATE_ROLLUP_QST[],MATCH($B56,MMWR_RATING_STATE_ROLLUP_QST[MMWR_RATING_STATE_ROLLUP_QST],0),MATCH(I$9,MMWR_RATING_STATE_ROLLUP_QST[#Headers],0)),"ERROR"))</f>
        <v>141.99038461539999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88</v>
      </c>
      <c r="D57" s="155">
        <f>IF($B57=" ","",IFERROR(INDEX(MMWR_RATING_STATE_ROLLUP_QST[],MATCH($B57,MMWR_RATING_STATE_ROLLUP_QST[MMWR_RATING_STATE_ROLLUP_QST],0),MATCH(D$9,MMWR_RATING_STATE_ROLLUP_QST[#Headers],0)),"ERROR"))</f>
        <v>88.772727272699996</v>
      </c>
      <c r="E57" s="156">
        <f>IF($B57=" ","",IFERROR(INDEX(MMWR_RATING_STATE_ROLLUP_QST[],MATCH($B57,MMWR_RATING_STATE_ROLLUP_QST[MMWR_RATING_STATE_ROLLUP_QST],0),MATCH(E$9,MMWR_RATING_STATE_ROLLUP_QST[#Headers],0))/$C57,"ERROR"))</f>
        <v>0.17045454545454544</v>
      </c>
      <c r="F57" s="154">
        <f>IF($B57=" ","",IFERROR(INDEX(MMWR_RATING_STATE_ROLLUP_QST[],MATCH($B57,MMWR_RATING_STATE_ROLLUP_QST[MMWR_RATING_STATE_ROLLUP_QST],0),MATCH(F$9,MMWR_RATING_STATE_ROLLUP_QST[#Headers],0)),"ERROR"))</f>
        <v>15</v>
      </c>
      <c r="G57" s="154">
        <f>IF($B57=" ","",IFERROR(INDEX(MMWR_RATING_STATE_ROLLUP_QST[],MATCH($B57,MMWR_RATING_STATE_ROLLUP_QST[MMWR_RATING_STATE_ROLLUP_QST],0),MATCH(G$9,MMWR_RATING_STATE_ROLLUP_QST[#Headers],0)),"ERROR"))</f>
        <v>52</v>
      </c>
      <c r="H57" s="155">
        <f>IF($B57=" ","",IFERROR(INDEX(MMWR_RATING_STATE_ROLLUP_QST[],MATCH($B57,MMWR_RATING_STATE_ROLLUP_QST[MMWR_RATING_STATE_ROLLUP_QST],0),MATCH(H$9,MMWR_RATING_STATE_ROLLUP_QST[#Headers],0)),"ERROR"))</f>
        <v>130.46666666670001</v>
      </c>
      <c r="I57" s="155">
        <f>IF($B57=" ","",IFERROR(INDEX(MMWR_RATING_STATE_ROLLUP_QST[],MATCH($B57,MMWR_RATING_STATE_ROLLUP_QST[MMWR_RATING_STATE_ROLLUP_QST],0),MATCH(I$9,MMWR_RATING_STATE_ROLLUP_QST[#Headers],0)),"ERROR"))</f>
        <v>135.07692307689999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28</v>
      </c>
      <c r="D58" s="155">
        <f>IF($B58=" ","",IFERROR(INDEX(MMWR_RATING_STATE_ROLLUP_QST[],MATCH($B58,MMWR_RATING_STATE_ROLLUP_QST[MMWR_RATING_STATE_ROLLUP_QST],0),MATCH(D$9,MMWR_RATING_STATE_ROLLUP_QST[#Headers],0)),"ERROR"))</f>
        <v>79.214285714300004</v>
      </c>
      <c r="E58" s="156">
        <f>IF($B58=" ","",IFERROR(INDEX(MMWR_RATING_STATE_ROLLUP_QST[],MATCH($B58,MMWR_RATING_STATE_ROLLUP_QST[MMWR_RATING_STATE_ROLLUP_QST],0),MATCH(E$9,MMWR_RATING_STATE_ROLLUP_QST[#Headers],0))/$C58,"ERROR"))</f>
        <v>0.17857142857142858</v>
      </c>
      <c r="F58" s="154">
        <f>IF($B58=" ","",IFERROR(INDEX(MMWR_RATING_STATE_ROLLUP_QST[],MATCH($B58,MMWR_RATING_STATE_ROLLUP_QST[MMWR_RATING_STATE_ROLLUP_QST],0),MATCH(F$9,MMWR_RATING_STATE_ROLLUP_QST[#Headers],0)),"ERROR"))</f>
        <v>2</v>
      </c>
      <c r="G58" s="154">
        <f>IF($B58=" ","",IFERROR(INDEX(MMWR_RATING_STATE_ROLLUP_QST[],MATCH($B58,MMWR_RATING_STATE_ROLLUP_QST[MMWR_RATING_STATE_ROLLUP_QST],0),MATCH(G$9,MMWR_RATING_STATE_ROLLUP_QST[#Headers],0)),"ERROR"))</f>
        <v>7</v>
      </c>
      <c r="H58" s="155">
        <f>IF($B58=" ","",IFERROR(INDEX(MMWR_RATING_STATE_ROLLUP_QST[],MATCH($B58,MMWR_RATING_STATE_ROLLUP_QST[MMWR_RATING_STATE_ROLLUP_QST],0),MATCH(H$9,MMWR_RATING_STATE_ROLLUP_QST[#Headers],0)),"ERROR"))</f>
        <v>123</v>
      </c>
      <c r="I58" s="155">
        <f>IF($B58=" ","",IFERROR(INDEX(MMWR_RATING_STATE_ROLLUP_QST[],MATCH($B58,MMWR_RATING_STATE_ROLLUP_QST[MMWR_RATING_STATE_ROLLUP_QST],0),MATCH(I$9,MMWR_RATING_STATE_ROLLUP_QST[#Headers],0)),"ERROR"))</f>
        <v>137.28571428570001</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129</v>
      </c>
      <c r="D59" s="155">
        <f>IF($B59=" ","",IFERROR(INDEX(MMWR_RATING_STATE_ROLLUP_QST[],MATCH($B59,MMWR_RATING_STATE_ROLLUP_QST[MMWR_RATING_STATE_ROLLUP_QST],0),MATCH(D$9,MMWR_RATING_STATE_ROLLUP_QST[#Headers],0)),"ERROR"))</f>
        <v>78.906976744199994</v>
      </c>
      <c r="E59" s="156">
        <f>IF($B59=" ","",IFERROR(INDEX(MMWR_RATING_STATE_ROLLUP_QST[],MATCH($B59,MMWR_RATING_STATE_ROLLUP_QST[MMWR_RATING_STATE_ROLLUP_QST],0),MATCH(E$9,MMWR_RATING_STATE_ROLLUP_QST[#Headers],0))/$C59,"ERROR"))</f>
        <v>0.20930232558139536</v>
      </c>
      <c r="F59" s="154">
        <f>IF($B59=" ","",IFERROR(INDEX(MMWR_RATING_STATE_ROLLUP_QST[],MATCH($B59,MMWR_RATING_STATE_ROLLUP_QST[MMWR_RATING_STATE_ROLLUP_QST],0),MATCH(F$9,MMWR_RATING_STATE_ROLLUP_QST[#Headers],0)),"ERROR"))</f>
        <v>10</v>
      </c>
      <c r="G59" s="154">
        <f>IF($B59=" ","",IFERROR(INDEX(MMWR_RATING_STATE_ROLLUP_QST[],MATCH($B59,MMWR_RATING_STATE_ROLLUP_QST[MMWR_RATING_STATE_ROLLUP_QST],0),MATCH(G$9,MMWR_RATING_STATE_ROLLUP_QST[#Headers],0)),"ERROR"))</f>
        <v>32</v>
      </c>
      <c r="H59" s="155">
        <f>IF($B59=" ","",IFERROR(INDEX(MMWR_RATING_STATE_ROLLUP_QST[],MATCH($B59,MMWR_RATING_STATE_ROLLUP_QST[MMWR_RATING_STATE_ROLLUP_QST],0),MATCH(H$9,MMWR_RATING_STATE_ROLLUP_QST[#Headers],0)),"ERROR"))</f>
        <v>171.4</v>
      </c>
      <c r="I59" s="155">
        <f>IF($B59=" ","",IFERROR(INDEX(MMWR_RATING_STATE_ROLLUP_QST[],MATCH($B59,MMWR_RATING_STATE_ROLLUP_QST[MMWR_RATING_STATE_ROLLUP_QST],0),MATCH(I$9,MMWR_RATING_STATE_ROLLUP_QST[#Headers],0)),"ERROR"))</f>
        <v>148.6875</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257</v>
      </c>
      <c r="D60" s="155">
        <f>IF($B60=" ","",IFERROR(INDEX(MMWR_RATING_STATE_ROLLUP_QST[],MATCH($B60,MMWR_RATING_STATE_ROLLUP_QST[MMWR_RATING_STATE_ROLLUP_QST],0),MATCH(D$9,MMWR_RATING_STATE_ROLLUP_QST[#Headers],0)),"ERROR"))</f>
        <v>80.7159533074</v>
      </c>
      <c r="E60" s="156">
        <f>IF($B60=" ","",IFERROR(INDEX(MMWR_RATING_STATE_ROLLUP_QST[],MATCH($B60,MMWR_RATING_STATE_ROLLUP_QST[MMWR_RATING_STATE_ROLLUP_QST],0),MATCH(E$9,MMWR_RATING_STATE_ROLLUP_QST[#Headers],0))/$C60,"ERROR"))</f>
        <v>0.17120622568093385</v>
      </c>
      <c r="F60" s="154">
        <f>IF($B60=" ","",IFERROR(INDEX(MMWR_RATING_STATE_ROLLUP_QST[],MATCH($B60,MMWR_RATING_STATE_ROLLUP_QST[MMWR_RATING_STATE_ROLLUP_QST],0),MATCH(F$9,MMWR_RATING_STATE_ROLLUP_QST[#Headers],0)),"ERROR"))</f>
        <v>32</v>
      </c>
      <c r="G60" s="154">
        <f>IF($B60=" ","",IFERROR(INDEX(MMWR_RATING_STATE_ROLLUP_QST[],MATCH($B60,MMWR_RATING_STATE_ROLLUP_QST[MMWR_RATING_STATE_ROLLUP_QST],0),MATCH(G$9,MMWR_RATING_STATE_ROLLUP_QST[#Headers],0)),"ERROR"))</f>
        <v>105</v>
      </c>
      <c r="H60" s="155">
        <f>IF($B60=" ","",IFERROR(INDEX(MMWR_RATING_STATE_ROLLUP_QST[],MATCH($B60,MMWR_RATING_STATE_ROLLUP_QST[MMWR_RATING_STATE_ROLLUP_QST],0),MATCH(H$9,MMWR_RATING_STATE_ROLLUP_QST[#Headers],0)),"ERROR"))</f>
        <v>132.0625</v>
      </c>
      <c r="I60" s="155">
        <f>IF($B60=" ","",IFERROR(INDEX(MMWR_RATING_STATE_ROLLUP_QST[],MATCH($B60,MMWR_RATING_STATE_ROLLUP_QST[MMWR_RATING_STATE_ROLLUP_QST],0),MATCH(I$9,MMWR_RATING_STATE_ROLLUP_QST[#Headers],0)),"ERROR"))</f>
        <v>120.7904761905</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666</v>
      </c>
      <c r="D61" s="155">
        <f>IF($B61=" ","",IFERROR(INDEX(MMWR_RATING_STATE_ROLLUP_QST[],MATCH($B61,MMWR_RATING_STATE_ROLLUP_QST[MMWR_RATING_STATE_ROLLUP_QST],0),MATCH(D$9,MMWR_RATING_STATE_ROLLUP_QST[#Headers],0)),"ERROR"))</f>
        <v>84.846846846800005</v>
      </c>
      <c r="E61" s="156">
        <f>IF($B61=" ","",IFERROR(INDEX(MMWR_RATING_STATE_ROLLUP_QST[],MATCH($B61,MMWR_RATING_STATE_ROLLUP_QST[MMWR_RATING_STATE_ROLLUP_QST],0),MATCH(E$9,MMWR_RATING_STATE_ROLLUP_QST[#Headers],0))/$C61,"ERROR"))</f>
        <v>0.21021021021021022</v>
      </c>
      <c r="F61" s="154">
        <f>IF($B61=" ","",IFERROR(INDEX(MMWR_RATING_STATE_ROLLUP_QST[],MATCH($B61,MMWR_RATING_STATE_ROLLUP_QST[MMWR_RATING_STATE_ROLLUP_QST],0),MATCH(F$9,MMWR_RATING_STATE_ROLLUP_QST[#Headers],0)),"ERROR"))</f>
        <v>64</v>
      </c>
      <c r="G61" s="154">
        <f>IF($B61=" ","",IFERROR(INDEX(MMWR_RATING_STATE_ROLLUP_QST[],MATCH($B61,MMWR_RATING_STATE_ROLLUP_QST[MMWR_RATING_STATE_ROLLUP_QST],0),MATCH(G$9,MMWR_RATING_STATE_ROLLUP_QST[#Headers],0)),"ERROR"))</f>
        <v>238</v>
      </c>
      <c r="H61" s="155">
        <f>IF($B61=" ","",IFERROR(INDEX(MMWR_RATING_STATE_ROLLUP_QST[],MATCH($B61,MMWR_RATING_STATE_ROLLUP_QST[MMWR_RATING_STATE_ROLLUP_QST],0),MATCH(H$9,MMWR_RATING_STATE_ROLLUP_QST[#Headers],0)),"ERROR"))</f>
        <v>148.234375</v>
      </c>
      <c r="I61" s="155">
        <f>IF($B61=" ","",IFERROR(INDEX(MMWR_RATING_STATE_ROLLUP_QST[],MATCH($B61,MMWR_RATING_STATE_ROLLUP_QST[MMWR_RATING_STATE_ROLLUP_QST],0),MATCH(I$9,MMWR_RATING_STATE_ROLLUP_QST[#Headers],0)),"ERROR"))</f>
        <v>146.65546218489999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199</v>
      </c>
      <c r="D62" s="155">
        <f>IF($B62=" ","",IFERROR(INDEX(MMWR_RATING_STATE_ROLLUP_QST[],MATCH($B62,MMWR_RATING_STATE_ROLLUP_QST[MMWR_RATING_STATE_ROLLUP_QST],0),MATCH(D$9,MMWR_RATING_STATE_ROLLUP_QST[#Headers],0)),"ERROR"))</f>
        <v>85.0201005025</v>
      </c>
      <c r="E62" s="156">
        <f>IF($B62=" ","",IFERROR(INDEX(MMWR_RATING_STATE_ROLLUP_QST[],MATCH($B62,MMWR_RATING_STATE_ROLLUP_QST[MMWR_RATING_STATE_ROLLUP_QST],0),MATCH(E$9,MMWR_RATING_STATE_ROLLUP_QST[#Headers],0))/$C62,"ERROR"))</f>
        <v>0.17587939698492464</v>
      </c>
      <c r="F62" s="154">
        <f>IF($B62=" ","",IFERROR(INDEX(MMWR_RATING_STATE_ROLLUP_QST[],MATCH($B62,MMWR_RATING_STATE_ROLLUP_QST[MMWR_RATING_STATE_ROLLUP_QST],0),MATCH(F$9,MMWR_RATING_STATE_ROLLUP_QST[#Headers],0)),"ERROR"))</f>
        <v>30</v>
      </c>
      <c r="G62" s="154">
        <f>IF($B62=" ","",IFERROR(INDEX(MMWR_RATING_STATE_ROLLUP_QST[],MATCH($B62,MMWR_RATING_STATE_ROLLUP_QST[MMWR_RATING_STATE_ROLLUP_QST],0),MATCH(G$9,MMWR_RATING_STATE_ROLLUP_QST[#Headers],0)),"ERROR"))</f>
        <v>94</v>
      </c>
      <c r="H62" s="155">
        <f>IF($B62=" ","",IFERROR(INDEX(MMWR_RATING_STATE_ROLLUP_QST[],MATCH($B62,MMWR_RATING_STATE_ROLLUP_QST[MMWR_RATING_STATE_ROLLUP_QST],0),MATCH(H$9,MMWR_RATING_STATE_ROLLUP_QST[#Headers],0)),"ERROR"))</f>
        <v>143.36666666670001</v>
      </c>
      <c r="I62" s="155">
        <f>IF($B62=" ","",IFERROR(INDEX(MMWR_RATING_STATE_ROLLUP_QST[],MATCH($B62,MMWR_RATING_STATE_ROLLUP_QST[MMWR_RATING_STATE_ROLLUP_QST],0),MATCH(I$9,MMWR_RATING_STATE_ROLLUP_QST[#Headers],0)),"ERROR"))</f>
        <v>131.57446808509999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10</v>
      </c>
      <c r="D63" s="155">
        <f>IF($B63=" ","",IFERROR(INDEX(MMWR_RATING_STATE_ROLLUP_QST[],MATCH($B63,MMWR_RATING_STATE_ROLLUP_QST[MMWR_RATING_STATE_ROLLUP_QST],0),MATCH(D$9,MMWR_RATING_STATE_ROLLUP_QST[#Headers],0)),"ERROR"))</f>
        <v>88.3</v>
      </c>
      <c r="E63" s="156">
        <f>IF($B63=" ","",IFERROR(INDEX(MMWR_RATING_STATE_ROLLUP_QST[],MATCH($B63,MMWR_RATING_STATE_ROLLUP_QST[MMWR_RATING_STATE_ROLLUP_QST],0),MATCH(E$9,MMWR_RATING_STATE_ROLLUP_QST[#Headers],0))/$C63,"ERROR"))</f>
        <v>0.2</v>
      </c>
      <c r="F63" s="154">
        <f>IF($B63=" ","",IFERROR(INDEX(MMWR_RATING_STATE_ROLLUP_QST[],MATCH($B63,MMWR_RATING_STATE_ROLLUP_QST[MMWR_RATING_STATE_ROLLUP_QST],0),MATCH(F$9,MMWR_RATING_STATE_ROLLUP_QST[#Headers],0)),"ERROR"))</f>
        <v>4</v>
      </c>
      <c r="G63" s="154">
        <f>IF($B63=" ","",IFERROR(INDEX(MMWR_RATING_STATE_ROLLUP_QST[],MATCH($B63,MMWR_RATING_STATE_ROLLUP_QST[MMWR_RATING_STATE_ROLLUP_QST],0),MATCH(G$9,MMWR_RATING_STATE_ROLLUP_QST[#Headers],0)),"ERROR"))</f>
        <v>7</v>
      </c>
      <c r="H63" s="155">
        <f>IF($B63=" ","",IFERROR(INDEX(MMWR_RATING_STATE_ROLLUP_QST[],MATCH($B63,MMWR_RATING_STATE_ROLLUP_QST[MMWR_RATING_STATE_ROLLUP_QST],0),MATCH(H$9,MMWR_RATING_STATE_ROLLUP_QST[#Headers],0)),"ERROR"))</f>
        <v>146.75</v>
      </c>
      <c r="I63" s="155">
        <f>IF($B63=" ","",IFERROR(INDEX(MMWR_RATING_STATE_ROLLUP_QST[],MATCH($B63,MMWR_RATING_STATE_ROLLUP_QST[MMWR_RATING_STATE_ROLLUP_QST],0),MATCH(I$9,MMWR_RATING_STATE_ROLLUP_QST[#Headers],0)),"ERROR"))</f>
        <v>158.1428571429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105.5</v>
      </c>
      <c r="E64" s="156">
        <f>IF($B64=" ","",IFERROR(INDEX(MMWR_RATING_STATE_ROLLUP_QST[],MATCH($B64,MMWR_RATING_STATE_ROLLUP_QST[MMWR_RATING_STATE_ROLLUP_QST],0),MATCH(E$9,MMWR_RATING_STATE_ROLLUP_QST[#Headers],0))/$C64,"ERROR"))</f>
        <v>0.25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3</v>
      </c>
      <c r="H64" s="155">
        <f>IF($B64=" ","",IFERROR(INDEX(MMWR_RATING_STATE_ROLLUP_QST[],MATCH($B64,MMWR_RATING_STATE_ROLLUP_QST[MMWR_RATING_STATE_ROLLUP_QST],0),MATCH(H$9,MMWR_RATING_STATE_ROLLUP_QST[#Headers],0)),"ERROR"))</f>
        <v>132</v>
      </c>
      <c r="I64" s="155">
        <f>IF($B64=" ","",IFERROR(INDEX(MMWR_RATING_STATE_ROLLUP_QST[],MATCH($B64,MMWR_RATING_STATE_ROLLUP_QST[MMWR_RATING_STATE_ROLLUP_QST],0),MATCH(I$9,MMWR_RATING_STATE_ROLLUP_QST[#Headers],0)),"ERROR"))</f>
        <v>108</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704</v>
      </c>
      <c r="D65" s="155">
        <f>IF($B65=" ","",IFERROR(INDEX(MMWR_RATING_STATE_ROLLUP_QST[],MATCH($B65,MMWR_RATING_STATE_ROLLUP_QST[MMWR_RATING_STATE_ROLLUP_QST],0),MATCH(D$9,MMWR_RATING_STATE_ROLLUP_QST[#Headers],0)),"ERROR"))</f>
        <v>85.825284090899999</v>
      </c>
      <c r="E65" s="156">
        <f>IF($B65=" ","",IFERROR(INDEX(MMWR_RATING_STATE_ROLLUP_QST[],MATCH($B65,MMWR_RATING_STATE_ROLLUP_QST[MMWR_RATING_STATE_ROLLUP_QST],0),MATCH(E$9,MMWR_RATING_STATE_ROLLUP_QST[#Headers],0))/$C65,"ERROR"))</f>
        <v>0.20454545454545456</v>
      </c>
      <c r="F65" s="154">
        <f>IF($B65=" ","",IFERROR(INDEX(MMWR_RATING_STATE_ROLLUP_QST[],MATCH($B65,MMWR_RATING_STATE_ROLLUP_QST[MMWR_RATING_STATE_ROLLUP_QST],0),MATCH(F$9,MMWR_RATING_STATE_ROLLUP_QST[#Headers],0)),"ERROR"))</f>
        <v>79</v>
      </c>
      <c r="G65" s="154">
        <f>IF($B65=" ","",IFERROR(INDEX(MMWR_RATING_STATE_ROLLUP_QST[],MATCH($B65,MMWR_RATING_STATE_ROLLUP_QST[MMWR_RATING_STATE_ROLLUP_QST],0),MATCH(G$9,MMWR_RATING_STATE_ROLLUP_QST[#Headers],0)),"ERROR"))</f>
        <v>253</v>
      </c>
      <c r="H65" s="155">
        <f>IF($B65=" ","",IFERROR(INDEX(MMWR_RATING_STATE_ROLLUP_QST[],MATCH($B65,MMWR_RATING_STATE_ROLLUP_QST[MMWR_RATING_STATE_ROLLUP_QST],0),MATCH(H$9,MMWR_RATING_STATE_ROLLUP_QST[#Headers],0)),"ERROR"))</f>
        <v>173.417721519</v>
      </c>
      <c r="I65" s="155">
        <f>IF($B65=" ","",IFERROR(INDEX(MMWR_RATING_STATE_ROLLUP_QST[],MATCH($B65,MMWR_RATING_STATE_ROLLUP_QST[MMWR_RATING_STATE_ROLLUP_QST],0),MATCH(I$9,MMWR_RATING_STATE_ROLLUP_QST[#Headers],0)),"ERROR"))</f>
        <v>165.64426877470001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23</v>
      </c>
      <c r="D66" s="155">
        <f>IF($B66=" ","",IFERROR(INDEX(MMWR_RATING_STATE_ROLLUP_QST[],MATCH($B66,MMWR_RATING_STATE_ROLLUP_QST[MMWR_RATING_STATE_ROLLUP_QST],0),MATCH(D$9,MMWR_RATING_STATE_ROLLUP_QST[#Headers],0)),"ERROR"))</f>
        <v>77.695652173900001</v>
      </c>
      <c r="E66" s="156">
        <f>IF($B66=" ","",IFERROR(INDEX(MMWR_RATING_STATE_ROLLUP_QST[],MATCH($B66,MMWR_RATING_STATE_ROLLUP_QST[MMWR_RATING_STATE_ROLLUP_QST],0),MATCH(E$9,MMWR_RATING_STATE_ROLLUP_QST[#Headers],0))/$C66,"ERROR"))</f>
        <v>8.6956521739130432E-2</v>
      </c>
      <c r="F66" s="154">
        <f>IF($B66=" ","",IFERROR(INDEX(MMWR_RATING_STATE_ROLLUP_QST[],MATCH($B66,MMWR_RATING_STATE_ROLLUP_QST[MMWR_RATING_STATE_ROLLUP_QST],0),MATCH(F$9,MMWR_RATING_STATE_ROLLUP_QST[#Headers],0)),"ERROR"))</f>
        <v>3</v>
      </c>
      <c r="G66" s="154">
        <f>IF($B66=" ","",IFERROR(INDEX(MMWR_RATING_STATE_ROLLUP_QST[],MATCH($B66,MMWR_RATING_STATE_ROLLUP_QST[MMWR_RATING_STATE_ROLLUP_QST],0),MATCH(G$9,MMWR_RATING_STATE_ROLLUP_QST[#Headers],0)),"ERROR"))</f>
        <v>9</v>
      </c>
      <c r="H66" s="155">
        <f>IF($B66=" ","",IFERROR(INDEX(MMWR_RATING_STATE_ROLLUP_QST[],MATCH($B66,MMWR_RATING_STATE_ROLLUP_QST[MMWR_RATING_STATE_ROLLUP_QST],0),MATCH(H$9,MMWR_RATING_STATE_ROLLUP_QST[#Headers],0)),"ERROR"))</f>
        <v>147.6666666667</v>
      </c>
      <c r="I66" s="155">
        <f>IF($B66=" ","",IFERROR(INDEX(MMWR_RATING_STATE_ROLLUP_QST[],MATCH($B66,MMWR_RATING_STATE_ROLLUP_QST[MMWR_RATING_STATE_ROLLUP_QST],0),MATCH(I$9,MMWR_RATING_STATE_ROLLUP_QST[#Headers],0)),"ERROR"))</f>
        <v>149.55555555559999</v>
      </c>
      <c r="J66" s="42"/>
      <c r="K66" s="42"/>
      <c r="L66" s="42"/>
      <c r="M66" s="42"/>
      <c r="N66" s="28"/>
    </row>
    <row r="67" spans="1:14" x14ac:dyDescent="0.2">
      <c r="A67" s="25"/>
      <c r="B67" s="357" t="s">
        <v>1041</v>
      </c>
      <c r="C67" s="358"/>
      <c r="D67" s="358"/>
      <c r="E67" s="358"/>
      <c r="F67" s="358"/>
      <c r="G67" s="358"/>
      <c r="H67" s="358"/>
      <c r="I67" s="358"/>
      <c r="J67" s="358"/>
      <c r="K67" s="358"/>
      <c r="L67" s="358"/>
      <c r="M67" s="408"/>
      <c r="N67" s="28"/>
    </row>
    <row r="68" spans="1:14" ht="25.5" x14ac:dyDescent="0.2">
      <c r="A68" s="25"/>
      <c r="B68" s="251" t="s">
        <v>1037</v>
      </c>
      <c r="C68" s="154">
        <f>IF($B68=" ","",IFERROR(INDEX(MMWR_RATING_STATE_ROLLUP_BDD[],MATCH($B68,MMWR_RATING_STATE_ROLLUP_BDD[MMWR_RATING_STATE_ROLLUP_BDD],0),MATCH(C$9,MMWR_RATING_STATE_ROLLUP_BDD[#Headers],0)),"ERROR"))</f>
        <v>11590</v>
      </c>
      <c r="D68" s="155">
        <f>IF($B68=" ","",IFERROR(INDEX(MMWR_RATING_STATE_ROLLUP_BDD[],MATCH($B68,MMWR_RATING_STATE_ROLLUP_BDD[MMWR_RATING_STATE_ROLLUP_BDD],0),MATCH(D$9,MMWR_RATING_STATE_ROLLUP_BDD[#Headers],0)),"ERROR"))</f>
        <v>83.029508196699993</v>
      </c>
      <c r="E68" s="156">
        <f>IF($B68=" ","",IFERROR(INDEX(MMWR_RATING_STATE_ROLLUP_BDD[],MATCH($B68,MMWR_RATING_STATE_ROLLUP_BDD[MMWR_RATING_STATE_ROLLUP_BDD],0),MATCH(E$9,MMWR_RATING_STATE_ROLLUP_BDD[#Headers],0))/$C68,"ERROR"))</f>
        <v>0.1810181190681622</v>
      </c>
      <c r="F68" s="154">
        <f>IF($B68=" ","",IFERROR(INDEX(MMWR_RATING_STATE_ROLLUP_BDD[],MATCH($B68,MMWR_RATING_STATE_ROLLUP_BDD[MMWR_RATING_STATE_ROLLUP_BDD],0),MATCH(F$9,MMWR_RATING_STATE_ROLLUP_BDD[#Headers],0)),"ERROR"))</f>
        <v>1363</v>
      </c>
      <c r="G68" s="154">
        <f>IF($B68=" ","",IFERROR(INDEX(MMWR_RATING_STATE_ROLLUP_BDD[],MATCH($B68,MMWR_RATING_STATE_ROLLUP_BDD[MMWR_RATING_STATE_ROLLUP_BDD],0),MATCH(G$9,MMWR_RATING_STATE_ROLLUP_BDD[#Headers],0)),"ERROR"))</f>
        <v>4944</v>
      </c>
      <c r="H68" s="155">
        <f>IF($B68=" ","",IFERROR(INDEX(MMWR_RATING_STATE_ROLLUP_BDD[],MATCH($B68,MMWR_RATING_STATE_ROLLUP_BDD[MMWR_RATING_STATE_ROLLUP_BDD],0),MATCH(H$9,MMWR_RATING_STATE_ROLLUP_BDD[#Headers],0)),"ERROR"))</f>
        <v>137.05722670579999</v>
      </c>
      <c r="I68" s="155">
        <f>IF($B68=" ","",IFERROR(INDEX(MMWR_RATING_STATE_ROLLUP_BDD[],MATCH($B68,MMWR_RATING_STATE_ROLLUP_BDD[MMWR_RATING_STATE_ROLLUP_BDD],0),MATCH(I$9,MMWR_RATING_STATE_ROLLUP_BDD[#Headers],0)),"ERROR"))</f>
        <v>131.4965614887</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3549</v>
      </c>
      <c r="D69" s="155">
        <f>IF($B69=" ","",IFERROR(INDEX(MMWR_RATING_STATE_ROLLUP_BDD[],MATCH($B69,MMWR_RATING_STATE_ROLLUP_BDD[MMWR_RATING_STATE_ROLLUP_BDD],0),MATCH(D$9,MMWR_RATING_STATE_ROLLUP_BDD[#Headers],0)),"ERROR"))</f>
        <v>87.5094392787</v>
      </c>
      <c r="E69" s="156">
        <f>IF($B69=" ","",IFERROR(INDEX(MMWR_RATING_STATE_ROLLUP_BDD[],MATCH($B69,MMWR_RATING_STATE_ROLLUP_BDD[MMWR_RATING_STATE_ROLLUP_BDD],0),MATCH(E$9,MMWR_RATING_STATE_ROLLUP_BDD[#Headers],0))/$C69,"ERROR"))</f>
        <v>0.2166807551422936</v>
      </c>
      <c r="F69" s="154">
        <f>IF($B69=" ","",IFERROR(INDEX(MMWR_RATING_STATE_ROLLUP_BDD[],MATCH($B69,MMWR_RATING_STATE_ROLLUP_BDD[MMWR_RATING_STATE_ROLLUP_BDD],0),MATCH(F$9,MMWR_RATING_STATE_ROLLUP_BDD[#Headers],0)),"ERROR"))</f>
        <v>337</v>
      </c>
      <c r="G69" s="154">
        <f>IF($B69=" ","",IFERROR(INDEX(MMWR_RATING_STATE_ROLLUP_BDD[],MATCH($B69,MMWR_RATING_STATE_ROLLUP_BDD[MMWR_RATING_STATE_ROLLUP_BDD],0),MATCH(G$9,MMWR_RATING_STATE_ROLLUP_BDD[#Headers],0)),"ERROR"))</f>
        <v>1197</v>
      </c>
      <c r="H69" s="155">
        <f>IF($B69=" ","",IFERROR(INDEX(MMWR_RATING_STATE_ROLLUP_BDD[],MATCH($B69,MMWR_RATING_STATE_ROLLUP_BDD[MMWR_RATING_STATE_ROLLUP_BDD],0),MATCH(H$9,MMWR_RATING_STATE_ROLLUP_BDD[#Headers],0)),"ERROR"))</f>
        <v>144.6023738872</v>
      </c>
      <c r="I69" s="155">
        <f>IF($B69=" ","",IFERROR(INDEX(MMWR_RATING_STATE_ROLLUP_BDD[],MATCH($B69,MMWR_RATING_STATE_ROLLUP_BDD[MMWR_RATING_STATE_ROLLUP_BDD],0),MATCH(I$9,MMWR_RATING_STATE_ROLLUP_BDD[#Headers],0)),"ERROR"))</f>
        <v>141.68003341689999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65</v>
      </c>
      <c r="D70" s="155">
        <f>IF($B70=" ","",IFERROR(INDEX(MMWR_RATING_STATE_ROLLUP_BDD[],MATCH($B70,MMWR_RATING_STATE_ROLLUP_BDD[MMWR_RATING_STATE_ROLLUP_BDD],0),MATCH(D$9,MMWR_RATING_STATE_ROLLUP_BDD[#Headers],0)),"ERROR"))</f>
        <v>95.6</v>
      </c>
      <c r="E70" s="156">
        <f>IF($B70=" ","",IFERROR(INDEX(MMWR_RATING_STATE_ROLLUP_BDD[],MATCH($B70,MMWR_RATING_STATE_ROLLUP_BDD[MMWR_RATING_STATE_ROLLUP_BDD],0),MATCH(E$9,MMWR_RATING_STATE_ROLLUP_BDD[#Headers],0))/$C70,"ERROR"))</f>
        <v>0.29230769230769232</v>
      </c>
      <c r="F70" s="154">
        <f>IF($B70=" ","",IFERROR(INDEX(MMWR_RATING_STATE_ROLLUP_BDD[],MATCH($B70,MMWR_RATING_STATE_ROLLUP_BDD[MMWR_RATING_STATE_ROLLUP_BDD],0),MATCH(F$9,MMWR_RATING_STATE_ROLLUP_BDD[#Headers],0)),"ERROR"))</f>
        <v>9</v>
      </c>
      <c r="G70" s="154">
        <f>IF($B70=" ","",IFERROR(INDEX(MMWR_RATING_STATE_ROLLUP_BDD[],MATCH($B70,MMWR_RATING_STATE_ROLLUP_BDD[MMWR_RATING_STATE_ROLLUP_BDD],0),MATCH(G$9,MMWR_RATING_STATE_ROLLUP_BDD[#Headers],0)),"ERROR"))</f>
        <v>25</v>
      </c>
      <c r="H70" s="155">
        <f>IF($B70=" ","",IFERROR(INDEX(MMWR_RATING_STATE_ROLLUP_BDD[],MATCH($B70,MMWR_RATING_STATE_ROLLUP_BDD[MMWR_RATING_STATE_ROLLUP_BDD],0),MATCH(H$9,MMWR_RATING_STATE_ROLLUP_BDD[#Headers],0)),"ERROR"))</f>
        <v>165.3333333333</v>
      </c>
      <c r="I70" s="155">
        <f>IF($B70=" ","",IFERROR(INDEX(MMWR_RATING_STATE_ROLLUP_BDD[],MATCH($B70,MMWR_RATING_STATE_ROLLUP_BDD[MMWR_RATING_STATE_ROLLUP_BDD],0),MATCH(I$9,MMWR_RATING_STATE_ROLLUP_BDD[#Headers],0)),"ERROR"))</f>
        <v>143.12</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28</v>
      </c>
      <c r="D71" s="155">
        <f>IF($B71=" ","",IFERROR(INDEX(MMWR_RATING_STATE_ROLLUP_BDD[],MATCH($B71,MMWR_RATING_STATE_ROLLUP_BDD[MMWR_RATING_STATE_ROLLUP_BDD],0),MATCH(D$9,MMWR_RATING_STATE_ROLLUP_BDD[#Headers],0)),"ERROR"))</f>
        <v>96.392857142899999</v>
      </c>
      <c r="E71" s="156">
        <f>IF($B71=" ","",IFERROR(INDEX(MMWR_RATING_STATE_ROLLUP_BDD[],MATCH($B71,MMWR_RATING_STATE_ROLLUP_BDD[MMWR_RATING_STATE_ROLLUP_BDD],0),MATCH(E$9,MMWR_RATING_STATE_ROLLUP_BDD[#Headers],0))/$C71,"ERROR"))</f>
        <v>0.21428571428571427</v>
      </c>
      <c r="F71" s="154">
        <f>IF($B71=" ","",IFERROR(INDEX(MMWR_RATING_STATE_ROLLUP_BDD[],MATCH($B71,MMWR_RATING_STATE_ROLLUP_BDD[MMWR_RATING_STATE_ROLLUP_BDD],0),MATCH(F$9,MMWR_RATING_STATE_ROLLUP_BDD[#Headers],0)),"ERROR"))</f>
        <v>6</v>
      </c>
      <c r="G71" s="154">
        <f>IF($B71=" ","",IFERROR(INDEX(MMWR_RATING_STATE_ROLLUP_BDD[],MATCH($B71,MMWR_RATING_STATE_ROLLUP_BDD[MMWR_RATING_STATE_ROLLUP_BDD],0),MATCH(G$9,MMWR_RATING_STATE_ROLLUP_BDD[#Headers],0)),"ERROR"))</f>
        <v>7</v>
      </c>
      <c r="H71" s="155">
        <f>IF($B71=" ","",IFERROR(INDEX(MMWR_RATING_STATE_ROLLUP_BDD[],MATCH($B71,MMWR_RATING_STATE_ROLLUP_BDD[MMWR_RATING_STATE_ROLLUP_BDD],0),MATCH(H$9,MMWR_RATING_STATE_ROLLUP_BDD[#Headers],0)),"ERROR"))</f>
        <v>163.6666666667</v>
      </c>
      <c r="I71" s="155">
        <f>IF($B71=" ","",IFERROR(INDEX(MMWR_RATING_STATE_ROLLUP_BDD[],MATCH($B71,MMWR_RATING_STATE_ROLLUP_BDD[MMWR_RATING_STATE_ROLLUP_BDD],0),MATCH(I$9,MMWR_RATING_STATE_ROLLUP_BDD[#Headers],0)),"ERROR"))</f>
        <v>172.1428571429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29</v>
      </c>
      <c r="D72" s="155">
        <f>IF($B72=" ","",IFERROR(INDEX(MMWR_RATING_STATE_ROLLUP_BDD[],MATCH($B72,MMWR_RATING_STATE_ROLLUP_BDD[MMWR_RATING_STATE_ROLLUP_BDD],0),MATCH(D$9,MMWR_RATING_STATE_ROLLUP_BDD[#Headers],0)),"ERROR"))</f>
        <v>97.068965517199999</v>
      </c>
      <c r="E72" s="156">
        <f>IF($B72=" ","",IFERROR(INDEX(MMWR_RATING_STATE_ROLLUP_BDD[],MATCH($B72,MMWR_RATING_STATE_ROLLUP_BDD[MMWR_RATING_STATE_ROLLUP_BDD],0),MATCH(E$9,MMWR_RATING_STATE_ROLLUP_BDD[#Headers],0))/$C72,"ERROR"))</f>
        <v>0.31034482758620691</v>
      </c>
      <c r="F72" s="154">
        <f>IF($B72=" ","",IFERROR(INDEX(MMWR_RATING_STATE_ROLLUP_BDD[],MATCH($B72,MMWR_RATING_STATE_ROLLUP_BDD[MMWR_RATING_STATE_ROLLUP_BDD],0),MATCH(F$9,MMWR_RATING_STATE_ROLLUP_BDD[#Headers],0)),"ERROR"))</f>
        <v>2</v>
      </c>
      <c r="G72" s="154">
        <f>IF($B72=" ","",IFERROR(INDEX(MMWR_RATING_STATE_ROLLUP_BDD[],MATCH($B72,MMWR_RATING_STATE_ROLLUP_BDD[MMWR_RATING_STATE_ROLLUP_BDD],0),MATCH(G$9,MMWR_RATING_STATE_ROLLUP_BDD[#Headers],0)),"ERROR"))</f>
        <v>11</v>
      </c>
      <c r="H72" s="155">
        <f>IF($B72=" ","",IFERROR(INDEX(MMWR_RATING_STATE_ROLLUP_BDD[],MATCH($B72,MMWR_RATING_STATE_ROLLUP_BDD[MMWR_RATING_STATE_ROLLUP_BDD],0),MATCH(H$9,MMWR_RATING_STATE_ROLLUP_BDD[#Headers],0)),"ERROR"))</f>
        <v>155</v>
      </c>
      <c r="I72" s="155">
        <f>IF($B72=" ","",IFERROR(INDEX(MMWR_RATING_STATE_ROLLUP_BDD[],MATCH($B72,MMWR_RATING_STATE_ROLLUP_BDD[MMWR_RATING_STATE_ROLLUP_BDD],0),MATCH(I$9,MMWR_RATING_STATE_ROLLUP_BDD[#Headers],0)),"ERROR"))</f>
        <v>129.0909090909</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21</v>
      </c>
      <c r="D73" s="155">
        <f>IF($B73=" ","",IFERROR(INDEX(MMWR_RATING_STATE_ROLLUP_BDD[],MATCH($B73,MMWR_RATING_STATE_ROLLUP_BDD[MMWR_RATING_STATE_ROLLUP_BDD],0),MATCH(D$9,MMWR_RATING_STATE_ROLLUP_BDD[#Headers],0)),"ERROR"))</f>
        <v>90.476190476200003</v>
      </c>
      <c r="E73" s="156">
        <f>IF($B73=" ","",IFERROR(INDEX(MMWR_RATING_STATE_ROLLUP_BDD[],MATCH($B73,MMWR_RATING_STATE_ROLLUP_BDD[MMWR_RATING_STATE_ROLLUP_BDD],0),MATCH(E$9,MMWR_RATING_STATE_ROLLUP_BDD[#Headers],0))/$C73,"ERROR"))</f>
        <v>0.2857142857142857</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9</v>
      </c>
      <c r="H73" s="155">
        <f>IF($B73=" ","",IFERROR(INDEX(MMWR_RATING_STATE_ROLLUP_BDD[],MATCH($B73,MMWR_RATING_STATE_ROLLUP_BDD[MMWR_RATING_STATE_ROLLUP_BDD],0),MATCH(H$9,MMWR_RATING_STATE_ROLLUP_BDD[#Headers],0)),"ERROR"))</f>
        <v>113</v>
      </c>
      <c r="I73" s="155">
        <f>IF($B73=" ","",IFERROR(INDEX(MMWR_RATING_STATE_ROLLUP_BDD[],MATCH($B73,MMWR_RATING_STATE_ROLLUP_BDD[MMWR_RATING_STATE_ROLLUP_BDD],0),MATCH(I$9,MMWR_RATING_STATE_ROLLUP_BDD[#Headers],0)),"ERROR"))</f>
        <v>161.55555555559999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389</v>
      </c>
      <c r="D74" s="155">
        <f>IF($B74=" ","",IFERROR(INDEX(MMWR_RATING_STATE_ROLLUP_BDD[],MATCH($B74,MMWR_RATING_STATE_ROLLUP_BDD[MMWR_RATING_STATE_ROLLUP_BDD],0),MATCH(D$9,MMWR_RATING_STATE_ROLLUP_BDD[#Headers],0)),"ERROR"))</f>
        <v>88.254498714700006</v>
      </c>
      <c r="E74" s="156">
        <f>IF($B74=" ","",IFERROR(INDEX(MMWR_RATING_STATE_ROLLUP_BDD[],MATCH($B74,MMWR_RATING_STATE_ROLLUP_BDD[MMWR_RATING_STATE_ROLLUP_BDD],0),MATCH(E$9,MMWR_RATING_STATE_ROLLUP_BDD[#Headers],0))/$C74,"ERROR"))</f>
        <v>0.23393316195372751</v>
      </c>
      <c r="F74" s="154">
        <f>IF($B74=" ","",IFERROR(INDEX(MMWR_RATING_STATE_ROLLUP_BDD[],MATCH($B74,MMWR_RATING_STATE_ROLLUP_BDD[MMWR_RATING_STATE_ROLLUP_BDD],0),MATCH(F$9,MMWR_RATING_STATE_ROLLUP_BDD[#Headers],0)),"ERROR"))</f>
        <v>38</v>
      </c>
      <c r="G74" s="154">
        <f>IF($B74=" ","",IFERROR(INDEX(MMWR_RATING_STATE_ROLLUP_BDD[],MATCH($B74,MMWR_RATING_STATE_ROLLUP_BDD[MMWR_RATING_STATE_ROLLUP_BDD],0),MATCH(G$9,MMWR_RATING_STATE_ROLLUP_BDD[#Headers],0)),"ERROR"))</f>
        <v>113</v>
      </c>
      <c r="H74" s="155">
        <f>IF($B74=" ","",IFERROR(INDEX(MMWR_RATING_STATE_ROLLUP_BDD[],MATCH($B74,MMWR_RATING_STATE_ROLLUP_BDD[MMWR_RATING_STATE_ROLLUP_BDD],0),MATCH(H$9,MMWR_RATING_STATE_ROLLUP_BDD[#Headers],0)),"ERROR"))</f>
        <v>139.18421052630001</v>
      </c>
      <c r="I74" s="155">
        <f>IF($B74=" ","",IFERROR(INDEX(MMWR_RATING_STATE_ROLLUP_BDD[],MATCH($B74,MMWR_RATING_STATE_ROLLUP_BDD[MMWR_RATING_STATE_ROLLUP_BDD],0),MATCH(I$9,MMWR_RATING_STATE_ROLLUP_BDD[#Headers],0)),"ERROR"))</f>
        <v>142.2477876106</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55</v>
      </c>
      <c r="D75" s="155">
        <f>IF($B75=" ","",IFERROR(INDEX(MMWR_RATING_STATE_ROLLUP_BDD[],MATCH($B75,MMWR_RATING_STATE_ROLLUP_BDD[MMWR_RATING_STATE_ROLLUP_BDD],0),MATCH(D$9,MMWR_RATING_STATE_ROLLUP_BDD[#Headers],0)),"ERROR"))</f>
        <v>94.872727272700004</v>
      </c>
      <c r="E75" s="156">
        <f>IF($B75=" ","",IFERROR(INDEX(MMWR_RATING_STATE_ROLLUP_BDD[],MATCH($B75,MMWR_RATING_STATE_ROLLUP_BDD[MMWR_RATING_STATE_ROLLUP_BDD],0),MATCH(E$9,MMWR_RATING_STATE_ROLLUP_BDD[#Headers],0))/$C75,"ERROR"))</f>
        <v>0.21818181818181817</v>
      </c>
      <c r="F75" s="154">
        <f>IF($B75=" ","",IFERROR(INDEX(MMWR_RATING_STATE_ROLLUP_BDD[],MATCH($B75,MMWR_RATING_STATE_ROLLUP_BDD[MMWR_RATING_STATE_ROLLUP_BDD],0),MATCH(F$9,MMWR_RATING_STATE_ROLLUP_BDD[#Headers],0)),"ERROR"))</f>
        <v>4</v>
      </c>
      <c r="G75" s="154">
        <f>IF($B75=" ","",IFERROR(INDEX(MMWR_RATING_STATE_ROLLUP_BDD[],MATCH($B75,MMWR_RATING_STATE_ROLLUP_BDD[MMWR_RATING_STATE_ROLLUP_BDD],0),MATCH(G$9,MMWR_RATING_STATE_ROLLUP_BDD[#Headers],0)),"ERROR"))</f>
        <v>23</v>
      </c>
      <c r="H75" s="155">
        <f>IF($B75=" ","",IFERROR(INDEX(MMWR_RATING_STATE_ROLLUP_BDD[],MATCH($B75,MMWR_RATING_STATE_ROLLUP_BDD[MMWR_RATING_STATE_ROLLUP_BDD],0),MATCH(H$9,MMWR_RATING_STATE_ROLLUP_BDD[#Headers],0)),"ERROR"))</f>
        <v>71.75</v>
      </c>
      <c r="I75" s="155">
        <f>IF($B75=" ","",IFERROR(INDEX(MMWR_RATING_STATE_ROLLUP_BDD[],MATCH($B75,MMWR_RATING_STATE_ROLLUP_BDD[MMWR_RATING_STATE_ROLLUP_BDD],0),MATCH(I$9,MMWR_RATING_STATE_ROLLUP_BDD[#Headers],0)),"ERROR"))</f>
        <v>115.3913043478</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22</v>
      </c>
      <c r="D76" s="155">
        <f>IF($B76=" ","",IFERROR(INDEX(MMWR_RATING_STATE_ROLLUP_BDD[],MATCH($B76,MMWR_RATING_STATE_ROLLUP_BDD[MMWR_RATING_STATE_ROLLUP_BDD],0),MATCH(D$9,MMWR_RATING_STATE_ROLLUP_BDD[#Headers],0)),"ERROR"))</f>
        <v>79.5</v>
      </c>
      <c r="E76" s="156">
        <f>IF($B76=" ","",IFERROR(INDEX(MMWR_RATING_STATE_ROLLUP_BDD[],MATCH($B76,MMWR_RATING_STATE_ROLLUP_BDD[MMWR_RATING_STATE_ROLLUP_BDD],0),MATCH(E$9,MMWR_RATING_STATE_ROLLUP_BDD[#Headers],0))/$C76,"ERROR"))</f>
        <v>0.18181818181818182</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12</v>
      </c>
      <c r="H76" s="155">
        <f>IF($B76=" ","",IFERROR(INDEX(MMWR_RATING_STATE_ROLLUP_BDD[],MATCH($B76,MMWR_RATING_STATE_ROLLUP_BDD[MMWR_RATING_STATE_ROLLUP_BDD],0),MATCH(H$9,MMWR_RATING_STATE_ROLLUP_BDD[#Headers],0)),"ERROR"))</f>
        <v>63</v>
      </c>
      <c r="I76" s="155">
        <f>IF($B76=" ","",IFERROR(INDEX(MMWR_RATING_STATE_ROLLUP_BDD[],MATCH($B76,MMWR_RATING_STATE_ROLLUP_BDD[MMWR_RATING_STATE_ROLLUP_BDD],0),MATCH(I$9,MMWR_RATING_STATE_ROLLUP_BDD[#Headers],0)),"ERROR"))</f>
        <v>138.75</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90</v>
      </c>
      <c r="D77" s="155">
        <f>IF($B77=" ","",IFERROR(INDEX(MMWR_RATING_STATE_ROLLUP_BDD[],MATCH($B77,MMWR_RATING_STATE_ROLLUP_BDD[MMWR_RATING_STATE_ROLLUP_BDD],0),MATCH(D$9,MMWR_RATING_STATE_ROLLUP_BDD[#Headers],0)),"ERROR"))</f>
        <v>82.355555555600006</v>
      </c>
      <c r="E77" s="156">
        <f>IF($B77=" ","",IFERROR(INDEX(MMWR_RATING_STATE_ROLLUP_BDD[],MATCH($B77,MMWR_RATING_STATE_ROLLUP_BDD[MMWR_RATING_STATE_ROLLUP_BDD],0),MATCH(E$9,MMWR_RATING_STATE_ROLLUP_BDD[#Headers],0))/$C77,"ERROR"))</f>
        <v>0.18888888888888888</v>
      </c>
      <c r="F77" s="154">
        <f>IF($B77=" ","",IFERROR(INDEX(MMWR_RATING_STATE_ROLLUP_BDD[],MATCH($B77,MMWR_RATING_STATE_ROLLUP_BDD[MMWR_RATING_STATE_ROLLUP_BDD],0),MATCH(F$9,MMWR_RATING_STATE_ROLLUP_BDD[#Headers],0)),"ERROR"))</f>
        <v>9</v>
      </c>
      <c r="G77" s="154">
        <f>IF($B77=" ","",IFERROR(INDEX(MMWR_RATING_STATE_ROLLUP_BDD[],MATCH($B77,MMWR_RATING_STATE_ROLLUP_BDD[MMWR_RATING_STATE_ROLLUP_BDD],0),MATCH(G$9,MMWR_RATING_STATE_ROLLUP_BDD[#Headers],0)),"ERROR"))</f>
        <v>41</v>
      </c>
      <c r="H77" s="155">
        <f>IF($B77=" ","",IFERROR(INDEX(MMWR_RATING_STATE_ROLLUP_BDD[],MATCH($B77,MMWR_RATING_STATE_ROLLUP_BDD[MMWR_RATING_STATE_ROLLUP_BDD],0),MATCH(H$9,MMWR_RATING_STATE_ROLLUP_BDD[#Headers],0)),"ERROR"))</f>
        <v>136.6666666667</v>
      </c>
      <c r="I77" s="155">
        <f>IF($B77=" ","",IFERROR(INDEX(MMWR_RATING_STATE_ROLLUP_BDD[],MATCH($B77,MMWR_RATING_STATE_ROLLUP_BDD[MMWR_RATING_STATE_ROLLUP_BDD],0),MATCH(I$9,MMWR_RATING_STATE_ROLLUP_BDD[#Headers],0)),"ERROR"))</f>
        <v>128.85365853659999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149</v>
      </c>
      <c r="D78" s="155">
        <f>IF($B78=" ","",IFERROR(INDEX(MMWR_RATING_STATE_ROLLUP_BDD[],MATCH($B78,MMWR_RATING_STATE_ROLLUP_BDD[MMWR_RATING_STATE_ROLLUP_BDD],0),MATCH(D$9,MMWR_RATING_STATE_ROLLUP_BDD[#Headers],0)),"ERROR"))</f>
        <v>85.275167785199997</v>
      </c>
      <c r="E78" s="156">
        <f>IF($B78=" ","",IFERROR(INDEX(MMWR_RATING_STATE_ROLLUP_BDD[],MATCH($B78,MMWR_RATING_STATE_ROLLUP_BDD[MMWR_RATING_STATE_ROLLUP_BDD],0),MATCH(E$9,MMWR_RATING_STATE_ROLLUP_BDD[#Headers],0))/$C78,"ERROR"))</f>
        <v>0.19463087248322147</v>
      </c>
      <c r="F78" s="154">
        <f>IF($B78=" ","",IFERROR(INDEX(MMWR_RATING_STATE_ROLLUP_BDD[],MATCH($B78,MMWR_RATING_STATE_ROLLUP_BDD[MMWR_RATING_STATE_ROLLUP_BDD],0),MATCH(F$9,MMWR_RATING_STATE_ROLLUP_BDD[#Headers],0)),"ERROR"))</f>
        <v>23</v>
      </c>
      <c r="G78" s="154">
        <f>IF($B78=" ","",IFERROR(INDEX(MMWR_RATING_STATE_ROLLUP_BDD[],MATCH($B78,MMWR_RATING_STATE_ROLLUP_BDD[MMWR_RATING_STATE_ROLLUP_BDD],0),MATCH(G$9,MMWR_RATING_STATE_ROLLUP_BDD[#Headers],0)),"ERROR"))</f>
        <v>75</v>
      </c>
      <c r="H78" s="155">
        <f>IF($B78=" ","",IFERROR(INDEX(MMWR_RATING_STATE_ROLLUP_BDD[],MATCH($B78,MMWR_RATING_STATE_ROLLUP_BDD[MMWR_RATING_STATE_ROLLUP_BDD],0),MATCH(H$9,MMWR_RATING_STATE_ROLLUP_BDD[#Headers],0)),"ERROR"))</f>
        <v>141.82608695650001</v>
      </c>
      <c r="I78" s="155">
        <f>IF($B78=" ","",IFERROR(INDEX(MMWR_RATING_STATE_ROLLUP_BDD[],MATCH($B78,MMWR_RATING_STATE_ROLLUP_BDD[MMWR_RATING_STATE_ROLLUP_BDD],0),MATCH(I$9,MMWR_RATING_STATE_ROLLUP_BDD[#Headers],0)),"ERROR"))</f>
        <v>142.98666666669999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1276</v>
      </c>
      <c r="D79" s="155">
        <f>IF($B79=" ","",IFERROR(INDEX(MMWR_RATING_STATE_ROLLUP_BDD[],MATCH($B79,MMWR_RATING_STATE_ROLLUP_BDD[MMWR_RATING_STATE_ROLLUP_BDD],0),MATCH(D$9,MMWR_RATING_STATE_ROLLUP_BDD[#Headers],0)),"ERROR"))</f>
        <v>83.246865203799999</v>
      </c>
      <c r="E79" s="156">
        <f>IF($B79=" ","",IFERROR(INDEX(MMWR_RATING_STATE_ROLLUP_BDD[],MATCH($B79,MMWR_RATING_STATE_ROLLUP_BDD[MMWR_RATING_STATE_ROLLUP_BDD],0),MATCH(E$9,MMWR_RATING_STATE_ROLLUP_BDD[#Headers],0))/$C79,"ERROR"))</f>
        <v>0.19592476489028213</v>
      </c>
      <c r="F79" s="154">
        <f>IF($B79=" ","",IFERROR(INDEX(MMWR_RATING_STATE_ROLLUP_BDD[],MATCH($B79,MMWR_RATING_STATE_ROLLUP_BDD[MMWR_RATING_STATE_ROLLUP_BDD],0),MATCH(F$9,MMWR_RATING_STATE_ROLLUP_BDD[#Headers],0)),"ERROR"))</f>
        <v>95</v>
      </c>
      <c r="G79" s="154">
        <f>IF($B79=" ","",IFERROR(INDEX(MMWR_RATING_STATE_ROLLUP_BDD[],MATCH($B79,MMWR_RATING_STATE_ROLLUP_BDD[MMWR_RATING_STATE_ROLLUP_BDD],0),MATCH(G$9,MMWR_RATING_STATE_ROLLUP_BDD[#Headers],0)),"ERROR"))</f>
        <v>399</v>
      </c>
      <c r="H79" s="155">
        <f>IF($B79=" ","",IFERROR(INDEX(MMWR_RATING_STATE_ROLLUP_BDD[],MATCH($B79,MMWR_RATING_STATE_ROLLUP_BDD[MMWR_RATING_STATE_ROLLUP_BDD],0),MATCH(H$9,MMWR_RATING_STATE_ROLLUP_BDD[#Headers],0)),"ERROR"))</f>
        <v>144.4</v>
      </c>
      <c r="I79" s="155">
        <f>IF($B79=" ","",IFERROR(INDEX(MMWR_RATING_STATE_ROLLUP_BDD[],MATCH($B79,MMWR_RATING_STATE_ROLLUP_BDD[MMWR_RATING_STATE_ROLLUP_BDD],0),MATCH(I$9,MMWR_RATING_STATE_ROLLUP_BDD[#Headers],0)),"ERROR"))</f>
        <v>141.01754385960001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134</v>
      </c>
      <c r="D80" s="155">
        <f>IF($B80=" ","",IFERROR(INDEX(MMWR_RATING_STATE_ROLLUP_BDD[],MATCH($B80,MMWR_RATING_STATE_ROLLUP_BDD[MMWR_RATING_STATE_ROLLUP_BDD],0),MATCH(D$9,MMWR_RATING_STATE_ROLLUP_BDD[#Headers],0)),"ERROR"))</f>
        <v>85.305970149299995</v>
      </c>
      <c r="E80" s="156">
        <f>IF($B80=" ","",IFERROR(INDEX(MMWR_RATING_STATE_ROLLUP_BDD[],MATCH($B80,MMWR_RATING_STATE_ROLLUP_BDD[MMWR_RATING_STATE_ROLLUP_BDD],0),MATCH(E$9,MMWR_RATING_STATE_ROLLUP_BDD[#Headers],0))/$C80,"ERROR"))</f>
        <v>0.19402985074626866</v>
      </c>
      <c r="F80" s="154">
        <f>IF($B80=" ","",IFERROR(INDEX(MMWR_RATING_STATE_ROLLUP_BDD[],MATCH($B80,MMWR_RATING_STATE_ROLLUP_BDD[MMWR_RATING_STATE_ROLLUP_BDD],0),MATCH(F$9,MMWR_RATING_STATE_ROLLUP_BDD[#Headers],0)),"ERROR"))</f>
        <v>26</v>
      </c>
      <c r="G80" s="154">
        <f>IF($B80=" ","",IFERROR(INDEX(MMWR_RATING_STATE_ROLLUP_BDD[],MATCH($B80,MMWR_RATING_STATE_ROLLUP_BDD[MMWR_RATING_STATE_ROLLUP_BDD],0),MATCH(G$9,MMWR_RATING_STATE_ROLLUP_BDD[#Headers],0)),"ERROR"))</f>
        <v>85</v>
      </c>
      <c r="H80" s="155">
        <f>IF($B80=" ","",IFERROR(INDEX(MMWR_RATING_STATE_ROLLUP_BDD[],MATCH($B80,MMWR_RATING_STATE_ROLLUP_BDD[MMWR_RATING_STATE_ROLLUP_BDD],0),MATCH(H$9,MMWR_RATING_STATE_ROLLUP_BDD[#Headers],0)),"ERROR"))</f>
        <v>143.26923076919999</v>
      </c>
      <c r="I80" s="155">
        <f>IF($B80=" ","",IFERROR(INDEX(MMWR_RATING_STATE_ROLLUP_BDD[],MATCH($B80,MMWR_RATING_STATE_ROLLUP_BDD[MMWR_RATING_STATE_ROLLUP_BDD],0),MATCH(I$9,MMWR_RATING_STATE_ROLLUP_BDD[#Headers],0)),"ERROR"))</f>
        <v>127.8352941176</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10</v>
      </c>
      <c r="D81" s="155">
        <f>IF($B81=" ","",IFERROR(INDEX(MMWR_RATING_STATE_ROLLUP_BDD[],MATCH($B81,MMWR_RATING_STATE_ROLLUP_BDD[MMWR_RATING_STATE_ROLLUP_BDD],0),MATCH(D$9,MMWR_RATING_STATE_ROLLUP_BDD[#Headers],0)),"ERROR"))</f>
        <v>80.599999999999994</v>
      </c>
      <c r="E81" s="156">
        <f>IF($B81=" ","",IFERROR(INDEX(MMWR_RATING_STATE_ROLLUP_BDD[],MATCH($B81,MMWR_RATING_STATE_ROLLUP_BDD[MMWR_RATING_STATE_ROLLUP_BDD],0),MATCH(E$9,MMWR_RATING_STATE_ROLLUP_BDD[#Headers],0))/$C81,"ERROR"))</f>
        <v>0.1</v>
      </c>
      <c r="F81" s="154">
        <f>IF($B81=" ","",IFERROR(INDEX(MMWR_RATING_STATE_ROLLUP_BDD[],MATCH($B81,MMWR_RATING_STATE_ROLLUP_BDD[MMWR_RATING_STATE_ROLLUP_BDD],0),MATCH(F$9,MMWR_RATING_STATE_ROLLUP_BDD[#Headers],0)),"ERROR"))</f>
        <v>2</v>
      </c>
      <c r="G81" s="154">
        <f>IF($B81=" ","",IFERROR(INDEX(MMWR_RATING_STATE_ROLLUP_BDD[],MATCH($B81,MMWR_RATING_STATE_ROLLUP_BDD[MMWR_RATING_STATE_ROLLUP_BDD],0),MATCH(G$9,MMWR_RATING_STATE_ROLLUP_BDD[#Headers],0)),"ERROR"))</f>
        <v>8</v>
      </c>
      <c r="H81" s="155">
        <f>IF($B81=" ","",IFERROR(INDEX(MMWR_RATING_STATE_ROLLUP_BDD[],MATCH($B81,MMWR_RATING_STATE_ROLLUP_BDD[MMWR_RATING_STATE_ROLLUP_BDD],0),MATCH(H$9,MMWR_RATING_STATE_ROLLUP_BDD[#Headers],0)),"ERROR"))</f>
        <v>93.5</v>
      </c>
      <c r="I81" s="155">
        <f>IF($B81=" ","",IFERROR(INDEX(MMWR_RATING_STATE_ROLLUP_BDD[],MATCH($B81,MMWR_RATING_STATE_ROLLUP_BDD[MMWR_RATING_STATE_ROLLUP_BDD],0),MATCH(I$9,MMWR_RATING_STATE_ROLLUP_BDD[#Headers],0)),"ERROR"))</f>
        <v>111.5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4</v>
      </c>
      <c r="D82" s="155">
        <f>IF($B82=" ","",IFERROR(INDEX(MMWR_RATING_STATE_ROLLUP_BDD[],MATCH($B82,MMWR_RATING_STATE_ROLLUP_BDD[MMWR_RATING_STATE_ROLLUP_BDD],0),MATCH(D$9,MMWR_RATING_STATE_ROLLUP_BDD[#Headers],0)),"ERROR"))</f>
        <v>80.75</v>
      </c>
      <c r="E82" s="156">
        <f>IF($B82=" ","",IFERROR(INDEX(MMWR_RATING_STATE_ROLLUP_BDD[],MATCH($B82,MMWR_RATING_STATE_ROLLUP_BDD[MMWR_RATING_STATE_ROLLUP_BDD],0),MATCH(E$9,MMWR_RATING_STATE_ROLLUP_BDD[#Headers],0))/$C82,"ERROR"))</f>
        <v>0.25</v>
      </c>
      <c r="F82" s="154">
        <f>IF($B82=" ","",IFERROR(INDEX(MMWR_RATING_STATE_ROLLUP_BDD[],MATCH($B82,MMWR_RATING_STATE_ROLLUP_BDD[MMWR_RATING_STATE_ROLLUP_BDD],0),MATCH(F$9,MMWR_RATING_STATE_ROLLUP_BDD[#Headers],0)),"ERROR"))</f>
        <v>1</v>
      </c>
      <c r="G82" s="154">
        <f>IF($B82=" ","",IFERROR(INDEX(MMWR_RATING_STATE_ROLLUP_BDD[],MATCH($B82,MMWR_RATING_STATE_ROLLUP_BDD[MMWR_RATING_STATE_ROLLUP_BDD],0),MATCH(G$9,MMWR_RATING_STATE_ROLLUP_BDD[#Headers],0)),"ERROR"))</f>
        <v>5</v>
      </c>
      <c r="H82" s="155">
        <f>IF($B82=" ","",IFERROR(INDEX(MMWR_RATING_STATE_ROLLUP_BDD[],MATCH($B82,MMWR_RATING_STATE_ROLLUP_BDD[MMWR_RATING_STATE_ROLLUP_BDD],0),MATCH(H$9,MMWR_RATING_STATE_ROLLUP_BDD[#Headers],0)),"ERROR"))</f>
        <v>129</v>
      </c>
      <c r="I82" s="155">
        <f>IF($B82=" ","",IFERROR(INDEX(MMWR_RATING_STATE_ROLLUP_BDD[],MATCH($B82,MMWR_RATING_STATE_ROLLUP_BDD[MMWR_RATING_STATE_ROLLUP_BDD],0),MATCH(I$9,MMWR_RATING_STATE_ROLLUP_BDD[#Headers],0)),"ERROR"))</f>
        <v>93.2</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1249</v>
      </c>
      <c r="D83" s="155">
        <f>IF($B83=" ","",IFERROR(INDEX(MMWR_RATING_STATE_ROLLUP_BDD[],MATCH($B83,MMWR_RATING_STATE_ROLLUP_BDD[MMWR_RATING_STATE_ROLLUP_BDD],0),MATCH(D$9,MMWR_RATING_STATE_ROLLUP_BDD[#Headers],0)),"ERROR"))</f>
        <v>91.110488390699999</v>
      </c>
      <c r="E83" s="156">
        <f>IF($B83=" ","",IFERROR(INDEX(MMWR_RATING_STATE_ROLLUP_BDD[],MATCH($B83,MMWR_RATING_STATE_ROLLUP_BDD[MMWR_RATING_STATE_ROLLUP_BDD],0),MATCH(E$9,MMWR_RATING_STATE_ROLLUP_BDD[#Headers],0))/$C83,"ERROR"))</f>
        <v>0.23138510808646917</v>
      </c>
      <c r="F83" s="154">
        <f>IF($B83=" ","",IFERROR(INDEX(MMWR_RATING_STATE_ROLLUP_BDD[],MATCH($B83,MMWR_RATING_STATE_ROLLUP_BDD[MMWR_RATING_STATE_ROLLUP_BDD],0),MATCH(F$9,MMWR_RATING_STATE_ROLLUP_BDD[#Headers],0)),"ERROR"))</f>
        <v>113</v>
      </c>
      <c r="G83" s="154">
        <f>IF($B83=" ","",IFERROR(INDEX(MMWR_RATING_STATE_ROLLUP_BDD[],MATCH($B83,MMWR_RATING_STATE_ROLLUP_BDD[MMWR_RATING_STATE_ROLLUP_BDD],0),MATCH(G$9,MMWR_RATING_STATE_ROLLUP_BDD[#Headers],0)),"ERROR"))</f>
        <v>371</v>
      </c>
      <c r="H83" s="155">
        <f>IF($B83=" ","",IFERROR(INDEX(MMWR_RATING_STATE_ROLLUP_BDD[],MATCH($B83,MMWR_RATING_STATE_ROLLUP_BDD[MMWR_RATING_STATE_ROLLUP_BDD],0),MATCH(H$9,MMWR_RATING_STATE_ROLLUP_BDD[#Headers],0)),"ERROR"))</f>
        <v>152.4778761062</v>
      </c>
      <c r="I83" s="155">
        <f>IF($B83=" ","",IFERROR(INDEX(MMWR_RATING_STATE_ROLLUP_BDD[],MATCH($B83,MMWR_RATING_STATE_ROLLUP_BDD[MMWR_RATING_STATE_ROLLUP_BDD],0),MATCH(I$9,MMWR_RATING_STATE_ROLLUP_BDD[#Headers],0)),"ERROR"))</f>
        <v>149.53638814019999</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28</v>
      </c>
      <c r="D84" s="155">
        <f>IF($B84=" ","",IFERROR(INDEX(MMWR_RATING_STATE_ROLLUP_BDD[],MATCH($B84,MMWR_RATING_STATE_ROLLUP_BDD[MMWR_RATING_STATE_ROLLUP_BDD],0),MATCH(D$9,MMWR_RATING_STATE_ROLLUP_BDD[#Headers],0)),"ERROR"))</f>
        <v>105.25</v>
      </c>
      <c r="E84" s="156">
        <f>IF($B84=" ","",IFERROR(INDEX(MMWR_RATING_STATE_ROLLUP_BDD[],MATCH($B84,MMWR_RATING_STATE_ROLLUP_BDD[MMWR_RATING_STATE_ROLLUP_BDD],0),MATCH(E$9,MMWR_RATING_STATE_ROLLUP_BDD[#Headers],0))/$C84,"ERROR"))</f>
        <v>0.32142857142857145</v>
      </c>
      <c r="F84" s="154">
        <f>IF($B84=" ","",IFERROR(INDEX(MMWR_RATING_STATE_ROLLUP_BDD[],MATCH($B84,MMWR_RATING_STATE_ROLLUP_BDD[MMWR_RATING_STATE_ROLLUP_BDD],0),MATCH(F$9,MMWR_RATING_STATE_ROLLUP_BDD[#Headers],0)),"ERROR"))</f>
        <v>6</v>
      </c>
      <c r="G84" s="154">
        <f>IF($B84=" ","",IFERROR(INDEX(MMWR_RATING_STATE_ROLLUP_BDD[],MATCH($B84,MMWR_RATING_STATE_ROLLUP_BDD[MMWR_RATING_STATE_ROLLUP_BDD],0),MATCH(G$9,MMWR_RATING_STATE_ROLLUP_BDD[#Headers],0)),"ERROR"))</f>
        <v>13</v>
      </c>
      <c r="H84" s="155">
        <f>IF($B84=" ","",IFERROR(INDEX(MMWR_RATING_STATE_ROLLUP_BDD[],MATCH($B84,MMWR_RATING_STATE_ROLLUP_BDD[MMWR_RATING_STATE_ROLLUP_BDD],0),MATCH(H$9,MMWR_RATING_STATE_ROLLUP_BDD[#Headers],0)),"ERROR"))</f>
        <v>109.1666666667</v>
      </c>
      <c r="I84" s="155">
        <f>IF($B84=" ","",IFERROR(INDEX(MMWR_RATING_STATE_ROLLUP_BDD[],MATCH($B84,MMWR_RATING_STATE_ROLLUP_BDD[MMWR_RATING_STATE_ROLLUP_BDD],0),MATCH(I$9,MMWR_RATING_STATE_ROLLUP_BDD[#Headers],0)),"ERROR"))</f>
        <v>120.4615384615</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29" priority="18">
      <formula>IF(OR(ISERROR(A1),A1="ERROR"),TRUE,FALSE)</formula>
    </cfRule>
  </conditionalFormatting>
  <conditionalFormatting sqref="A30 J30:N30">
    <cfRule type="expression" dxfId="428" priority="17">
      <formula>IF(OR(ISERROR(A30),A30="ERROR"),TRUE,FALSE)</formula>
    </cfRule>
  </conditionalFormatting>
  <conditionalFormatting sqref="B4">
    <cfRule type="expression" dxfId="427" priority="16">
      <formula>IF(OR(ISERROR(B4),B4="ERROR"),TRUE,FALSE)</formula>
    </cfRule>
  </conditionalFormatting>
  <conditionalFormatting sqref="B33:B48">
    <cfRule type="expression" dxfId="426" priority="14">
      <formula>IF(OR(ISERROR(B33),B33="ERROR"),TRUE,FALSE)</formula>
    </cfRule>
  </conditionalFormatting>
  <conditionalFormatting sqref="B51:B66">
    <cfRule type="expression" dxfId="425" priority="13">
      <formula>IF(OR(ISERROR(B51),B51="ERROR"),TRUE,FALSE)</formula>
    </cfRule>
  </conditionalFormatting>
  <conditionalFormatting sqref="B69:B84">
    <cfRule type="expression" dxfId="424" priority="12">
      <formula>IF(OR(ISERROR(B69),B69="ERROR"),TRUE,FALSE)</formula>
    </cfRule>
  </conditionalFormatting>
  <conditionalFormatting sqref="B14:I14">
    <cfRule type="expression" dxfId="423" priority="8">
      <formula>IF(OR(ISERROR(B13),B14="ERROR"),TRUE,FALSE)</formula>
    </cfRule>
  </conditionalFormatting>
  <conditionalFormatting sqref="C33:I48">
    <cfRule type="expression" dxfId="422" priority="7">
      <formula>IF(OR(ISERROR(C33),C33="ERROR"),TRUE,FALSE)</formula>
    </cfRule>
  </conditionalFormatting>
  <conditionalFormatting sqref="C32:I32">
    <cfRule type="expression" dxfId="421" priority="6">
      <formula>IF(OR(ISERROR(C31),C32="ERROR"),TRUE,FALSE)</formula>
    </cfRule>
  </conditionalFormatting>
  <conditionalFormatting sqref="C51:I66">
    <cfRule type="expression" dxfId="420" priority="5">
      <formula>IF(OR(ISERROR(C51),C51="ERROR"),TRUE,FALSE)</formula>
    </cfRule>
  </conditionalFormatting>
  <conditionalFormatting sqref="C50:I50">
    <cfRule type="expression" dxfId="419" priority="4">
      <formula>IF(OR(ISERROR(C49),C50="ERROR"),TRUE,FALSE)</formula>
    </cfRule>
  </conditionalFormatting>
  <conditionalFormatting sqref="C69:I84">
    <cfRule type="expression" dxfId="418" priority="3">
      <formula>IF(OR(ISERROR(C69),C69="ERROR"),TRUE,FALSE)</formula>
    </cfRule>
  </conditionalFormatting>
  <conditionalFormatting sqref="C68:I68">
    <cfRule type="expression" dxfId="417" priority="2">
      <formula>IF(OR(ISERROR(C67),C68="ERROR"),TRUE,FALSE)</formula>
    </cfRule>
  </conditionalFormatting>
  <conditionalFormatting sqref="C5:O5">
    <cfRule type="expression" dxfId="416"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8"/>
  <sheetViews>
    <sheetView zoomScale="60" zoomScaleNormal="60" zoomScaleSheetLayoutView="55" workbookViewId="0"/>
  </sheetViews>
  <sheetFormatPr defaultColWidth="0" defaultRowHeight="12.75" zeroHeight="1" x14ac:dyDescent="0.2"/>
  <cols>
    <col min="1" max="1" width="2.85546875" customWidth="1"/>
    <col min="2" max="2" width="50.7109375" customWidth="1"/>
    <col min="3" max="5" width="15.42578125" customWidth="1"/>
    <col min="6" max="6" width="10.7109375" customWidth="1"/>
    <col min="7" max="7" width="40.7109375" customWidth="1"/>
    <col min="8" max="10" width="15.42578125" customWidth="1"/>
    <col min="11" max="11" width="10.7109375" customWidth="1"/>
    <col min="12" max="12" width="40.7109375" customWidth="1"/>
    <col min="13" max="13" width="15.42578125" customWidth="1"/>
    <col min="14" max="14" width="40.7109375" customWidth="1"/>
    <col min="15" max="15" width="15.42578125" customWidth="1"/>
    <col min="16" max="16" width="3" customWidth="1"/>
    <col min="17" max="22" width="0" hidden="1" customWidth="1"/>
    <col min="23" max="16384" width="9.140625" hidden="1"/>
  </cols>
  <sheetData>
    <row r="1" spans="1:16" s="21" customFormat="1" ht="14.25" customHeight="1" thickBot="1" x14ac:dyDescent="0.25">
      <c r="A1" s="25"/>
      <c r="B1" s="26"/>
      <c r="C1" s="54"/>
      <c r="D1" s="54"/>
      <c r="E1" s="54"/>
      <c r="F1" s="54"/>
      <c r="G1" s="54"/>
      <c r="H1" s="54"/>
      <c r="I1" s="54"/>
      <c r="J1" s="54"/>
      <c r="K1" s="54"/>
      <c r="L1" s="54"/>
      <c r="M1" s="54"/>
      <c r="N1" s="54"/>
      <c r="O1" s="54"/>
      <c r="P1" s="25"/>
    </row>
    <row r="2" spans="1:16" s="1" customFormat="1" ht="27" thickBot="1" x14ac:dyDescent="0.45">
      <c r="A2" s="25"/>
      <c r="B2" s="413" t="s">
        <v>295</v>
      </c>
      <c r="C2" s="414"/>
      <c r="D2" s="414"/>
      <c r="E2" s="414"/>
      <c r="F2" s="414"/>
      <c r="G2" s="414"/>
      <c r="H2" s="414"/>
      <c r="I2" s="414"/>
      <c r="J2" s="414"/>
      <c r="K2" s="414"/>
      <c r="L2" s="414"/>
      <c r="M2" s="414"/>
      <c r="N2" s="414"/>
      <c r="O2" s="415"/>
      <c r="P2" s="25"/>
    </row>
    <row r="3" spans="1:16" s="1" customFormat="1" ht="63" customHeight="1" thickBot="1" x14ac:dyDescent="0.25">
      <c r="A3" s="25"/>
      <c r="B3" s="419" t="s">
        <v>310</v>
      </c>
      <c r="C3" s="420"/>
      <c r="D3" s="420"/>
      <c r="E3" s="420"/>
      <c r="F3" s="420"/>
      <c r="G3" s="420"/>
      <c r="H3" s="420"/>
      <c r="I3" s="420"/>
      <c r="J3" s="420"/>
      <c r="K3" s="420"/>
      <c r="L3" s="420"/>
      <c r="M3" s="420"/>
      <c r="N3" s="420"/>
      <c r="O3" s="421"/>
      <c r="P3" s="25"/>
    </row>
    <row r="4" spans="1:16" s="1" customFormat="1" ht="32.25" customHeight="1" thickBot="1" x14ac:dyDescent="0.25">
      <c r="A4" s="25"/>
      <c r="B4" s="416" t="str">
        <f>Transformation!B4</f>
        <v>As of: December 19, 2015</v>
      </c>
      <c r="C4" s="417"/>
      <c r="D4" s="417"/>
      <c r="E4" s="417"/>
      <c r="F4" s="417"/>
      <c r="G4" s="417"/>
      <c r="H4" s="417"/>
      <c r="I4" s="417"/>
      <c r="J4" s="417"/>
      <c r="K4" s="417"/>
      <c r="L4" s="417"/>
      <c r="M4" s="417"/>
      <c r="N4" s="417"/>
      <c r="O4" s="418"/>
      <c r="P4" s="25"/>
    </row>
    <row r="5" spans="1:16" s="1" customFormat="1" ht="27" customHeight="1" thickBot="1" x14ac:dyDescent="0.45">
      <c r="A5" s="25"/>
      <c r="B5" s="422" t="s">
        <v>242</v>
      </c>
      <c r="C5" s="423"/>
      <c r="D5" s="423"/>
      <c r="E5" s="424"/>
      <c r="F5" s="55"/>
      <c r="G5" s="422" t="s">
        <v>239</v>
      </c>
      <c r="H5" s="423"/>
      <c r="I5" s="423"/>
      <c r="J5" s="424"/>
      <c r="K5" s="56"/>
      <c r="L5" s="425" t="s">
        <v>11</v>
      </c>
      <c r="M5" s="426"/>
      <c r="N5" s="426"/>
      <c r="O5" s="427"/>
      <c r="P5" s="25"/>
    </row>
    <row r="6" spans="1:16" s="1" customFormat="1" ht="65.25" customHeight="1" thickBot="1" x14ac:dyDescent="0.25">
      <c r="A6" s="25"/>
      <c r="B6" s="275" t="s">
        <v>282</v>
      </c>
      <c r="C6" s="57" t="s">
        <v>12</v>
      </c>
      <c r="D6" s="58" t="s">
        <v>3</v>
      </c>
      <c r="E6" s="59" t="s">
        <v>4</v>
      </c>
      <c r="F6" s="25"/>
      <c r="G6" s="280" t="s">
        <v>282</v>
      </c>
      <c r="H6" s="60" t="s">
        <v>12</v>
      </c>
      <c r="I6" s="61" t="s">
        <v>3</v>
      </c>
      <c r="J6" s="62" t="s">
        <v>4</v>
      </c>
      <c r="K6" s="63"/>
      <c r="L6" s="276" t="s">
        <v>282</v>
      </c>
      <c r="M6" s="64" t="s">
        <v>488</v>
      </c>
      <c r="N6" s="277" t="s">
        <v>282</v>
      </c>
      <c r="O6" s="65" t="s">
        <v>137</v>
      </c>
      <c r="P6" s="25"/>
    </row>
    <row r="7" spans="1:16" s="1" customFormat="1" ht="35.1" customHeight="1" thickBot="1" x14ac:dyDescent="0.25">
      <c r="A7" s="25"/>
      <c r="B7" s="273" t="s">
        <v>297</v>
      </c>
      <c r="C7" s="167">
        <f>SUM(C8:C10)</f>
        <v>122250</v>
      </c>
      <c r="D7" s="168">
        <f>SUM(D8:D10)</f>
        <v>31864</v>
      </c>
      <c r="E7" s="169">
        <f t="shared" ref="E7:E44" si="0">IF(D7="--", 0, D7/C7)</f>
        <v>0.26064621676891614</v>
      </c>
      <c r="F7" s="25"/>
      <c r="G7" s="273" t="s">
        <v>267</v>
      </c>
      <c r="H7" s="168">
        <f>SUM(H8:H10)</f>
        <v>33094</v>
      </c>
      <c r="I7" s="168">
        <f>SUM(I8:I10)</f>
        <v>4580</v>
      </c>
      <c r="J7" s="179">
        <f>IF(I7="--", 0, I7/H7)</f>
        <v>0.13839366652565419</v>
      </c>
      <c r="K7" s="66"/>
      <c r="L7" s="273" t="s">
        <v>966</v>
      </c>
      <c r="M7" s="180">
        <f>M8+M9+M10+M11+M12</f>
        <v>325403</v>
      </c>
      <c r="N7" s="273"/>
      <c r="O7" s="67"/>
      <c r="P7" s="25"/>
    </row>
    <row r="8" spans="1:16" s="1" customFormat="1" ht="35.1" customHeight="1" x14ac:dyDescent="0.2">
      <c r="A8" s="25"/>
      <c r="B8" s="266" t="s">
        <v>252</v>
      </c>
      <c r="C8" s="170">
        <f>IFERROR(VLOOKUP(MID(B8,4,3),MMWR_TRAD_AGG_NATIONAL[],2,0),"--")</f>
        <v>314</v>
      </c>
      <c r="D8" s="171">
        <f>IFERROR(VLOOKUP(MID(B8,4,3),MMWR_TRAD_AGG_NATIONAL[],3,0),"--")</f>
        <v>186</v>
      </c>
      <c r="E8" s="172">
        <f t="shared" si="0"/>
        <v>0.59235668789808915</v>
      </c>
      <c r="F8" s="25"/>
      <c r="G8" s="274" t="s">
        <v>269</v>
      </c>
      <c r="H8" s="170">
        <f>IFERROR(VLOOKUP(MID(G8,4,3),MMWR_TRAD_AGG_NATIONAL[],2,0),"--")</f>
        <v>8615</v>
      </c>
      <c r="I8" s="171">
        <f>IFERROR(VLOOKUP(MID(G8,4,3),MMWR_TRAD_AGG_NATIONAL[],3,0),"--")</f>
        <v>387</v>
      </c>
      <c r="J8" s="172">
        <f>IF(I8="--", 0, I8/H8)</f>
        <v>4.4921648287869993E-2</v>
      </c>
      <c r="K8" s="68" t="s">
        <v>309</v>
      </c>
      <c r="L8" s="278" t="s">
        <v>243</v>
      </c>
      <c r="M8" s="181">
        <f>VLOOKUP(L8,MMWR_APP_NATIONAL[],2,0)</f>
        <v>234314</v>
      </c>
      <c r="N8" s="279" t="s">
        <v>232</v>
      </c>
      <c r="O8" s="182">
        <f>VLOOKUP(L8,MMWR_APP_NATIONAL[],3,0)</f>
        <v>396.2969603592</v>
      </c>
      <c r="P8" s="25"/>
    </row>
    <row r="9" spans="1:16" s="1" customFormat="1" ht="35.1" customHeight="1" x14ac:dyDescent="0.2">
      <c r="A9" s="25"/>
      <c r="B9" s="266" t="s">
        <v>250</v>
      </c>
      <c r="C9" s="170">
        <f>IFERROR(VLOOKUP(MID(B9,4,3),MMWR_TRAD_AGG_NATIONAL[],2,0),"--")</f>
        <v>40899</v>
      </c>
      <c r="D9" s="171">
        <f>IFERROR(VLOOKUP(MID(B9,4,3),MMWR_TRAD_AGG_NATIONAL[],3,0),"--")</f>
        <v>12152</v>
      </c>
      <c r="E9" s="172">
        <f t="shared" si="0"/>
        <v>0.29712217902638205</v>
      </c>
      <c r="F9" s="68" t="s">
        <v>309</v>
      </c>
      <c r="G9" s="266" t="s">
        <v>268</v>
      </c>
      <c r="H9" s="170">
        <f>IFERROR(VLOOKUP(MID(G9,4,3),MMWR_TRAD_AGG_NATIONAL[],2,0),"--")</f>
        <v>8023</v>
      </c>
      <c r="I9" s="171">
        <f>IFERROR(VLOOKUP(MID(G9,4,3),MMWR_TRAD_AGG_NATIONAL[],3,0),"--")</f>
        <v>326</v>
      </c>
      <c r="J9" s="172">
        <f>IF(I9="--", 0, I9/H9)</f>
        <v>4.0633179608625204E-2</v>
      </c>
      <c r="K9" s="68" t="s">
        <v>309</v>
      </c>
      <c r="L9" s="271" t="s">
        <v>244</v>
      </c>
      <c r="M9" s="183">
        <f>VLOOKUP(L9,MMWR_APP_NATIONAL[],2,0)</f>
        <v>54656</v>
      </c>
      <c r="N9" s="269" t="s">
        <v>233</v>
      </c>
      <c r="O9" s="184">
        <f>VLOOKUP(L9,MMWR_APP_NATIONAL[],3,0)</f>
        <v>611.40301156320004</v>
      </c>
      <c r="P9" s="25"/>
    </row>
    <row r="10" spans="1:16" s="1" customFormat="1" ht="35.1" customHeight="1" thickBot="1" x14ac:dyDescent="0.25">
      <c r="A10" s="25"/>
      <c r="B10" s="266" t="s">
        <v>251</v>
      </c>
      <c r="C10" s="170">
        <f>IFERROR(VLOOKUP(MID(B10,4,3),MMWR_TRAD_AGG_NATIONAL[],2,0),"--")</f>
        <v>81037</v>
      </c>
      <c r="D10" s="171">
        <f>IFERROR(VLOOKUP(MID(B10,4,3),MMWR_TRAD_AGG_NATIONAL[],3,0),"--")</f>
        <v>19526</v>
      </c>
      <c r="E10" s="172">
        <f t="shared" si="0"/>
        <v>0.24095166405469107</v>
      </c>
      <c r="F10" s="68" t="s">
        <v>309</v>
      </c>
      <c r="G10" s="267" t="s">
        <v>270</v>
      </c>
      <c r="H10" s="170">
        <f>IFERROR(VLOOKUP(MID(G10,4,3),MMWR_TRAD_AGG_NATIONAL[],2,0),"--")</f>
        <v>16456</v>
      </c>
      <c r="I10" s="171">
        <f>IFERROR(VLOOKUP(MID(G10,4,3),MMWR_TRAD_AGG_NATIONAL[],3,0),"--")</f>
        <v>3867</v>
      </c>
      <c r="J10" s="172">
        <f>IF(I10="--", 0, I10/H10)</f>
        <v>0.23499027710257656</v>
      </c>
      <c r="K10" s="69"/>
      <c r="L10" s="271" t="s">
        <v>245</v>
      </c>
      <c r="M10" s="183">
        <f>VLOOKUP(L10,MMWR_APP_NATIONAL[],2,0)</f>
        <v>25057</v>
      </c>
      <c r="N10" s="269" t="s">
        <v>234</v>
      </c>
      <c r="O10" s="184">
        <f>VLOOKUP(L10,MMWR_APP_NATIONAL[],3,0)</f>
        <v>516.82205013570001</v>
      </c>
      <c r="P10" s="25"/>
    </row>
    <row r="11" spans="1:16" s="1" customFormat="1" ht="35.1" customHeight="1" thickBot="1" x14ac:dyDescent="0.25">
      <c r="A11" s="25"/>
      <c r="B11" s="273" t="s">
        <v>298</v>
      </c>
      <c r="C11" s="167">
        <f>SUM(C12:C13)</f>
        <v>9117</v>
      </c>
      <c r="D11" s="168">
        <f>SUM(D12:D13)</f>
        <v>1933</v>
      </c>
      <c r="E11" s="169">
        <f t="shared" si="0"/>
        <v>0.21202149829987935</v>
      </c>
      <c r="F11" s="25"/>
      <c r="G11" s="273" t="s">
        <v>240</v>
      </c>
      <c r="H11" s="167">
        <f>SUM(H12:H17)</f>
        <v>27319</v>
      </c>
      <c r="I11" s="167">
        <f>SUM(I12:I17)</f>
        <v>6796</v>
      </c>
      <c r="J11" s="160">
        <f>IF(I11="--", 0, I11/H11)</f>
        <v>0.24876459606867016</v>
      </c>
      <c r="K11" s="69"/>
      <c r="L11" s="271" t="s">
        <v>967</v>
      </c>
      <c r="M11" s="183">
        <f>VLOOKUP(L11,MMWR_APP_NATIONAL[],2,0)</f>
        <v>10935</v>
      </c>
      <c r="N11" s="269" t="s">
        <v>235</v>
      </c>
      <c r="O11" s="184">
        <f>VLOOKUP(L11,MMWR_APP_NATIONAL[],3,0)</f>
        <v>181.34431028169999</v>
      </c>
      <c r="P11" s="25"/>
    </row>
    <row r="12" spans="1:16" s="1" customFormat="1" ht="35.1" customHeight="1" thickBot="1" x14ac:dyDescent="0.25">
      <c r="A12" s="25"/>
      <c r="B12" s="272" t="s">
        <v>272</v>
      </c>
      <c r="C12" s="170">
        <f>IFERROR(VLOOKUP(MID(B12,4,3),MMWR_TRAD_AGG_NATIONAL[],2,0),"--")</f>
        <v>8087</v>
      </c>
      <c r="D12" s="171">
        <f>IFERROR(VLOOKUP(MID(B12,4,3),MMWR_TRAD_AGG_NATIONAL[],3,0),"--")</f>
        <v>1325</v>
      </c>
      <c r="E12" s="172">
        <f t="shared" si="0"/>
        <v>0.16384320514405837</v>
      </c>
      <c r="F12" s="68" t="s">
        <v>309</v>
      </c>
      <c r="G12" s="267" t="s">
        <v>262</v>
      </c>
      <c r="H12" s="170">
        <f>IFERROR(VLOOKUP(MID(G12,4,3)&amp;"p",MMWR_TRAD_AGG_NATIONAL[],2,0),"--")</f>
        <v>1430</v>
      </c>
      <c r="I12" s="171">
        <f>IFERROR(VLOOKUP(MID(G12,4,3)&amp;"p",MMWR_TRAD_AGG_NATIONAL[],3,0),"--")</f>
        <v>288</v>
      </c>
      <c r="J12" s="172">
        <f t="shared" ref="J12:J17" si="1">IF(H12="--", 0,I12/H12)</f>
        <v>0.20139860139860141</v>
      </c>
      <c r="K12" s="69"/>
      <c r="L12" s="271" t="s">
        <v>948</v>
      </c>
      <c r="M12" s="183">
        <f>VLOOKUP(L12,MMWR_APP_NATIONAL[],2,0)</f>
        <v>441</v>
      </c>
      <c r="N12" s="270" t="s">
        <v>965</v>
      </c>
      <c r="O12" s="184">
        <f>VLOOKUP(L12,MMWR_APP_NATIONAL[],3,0)</f>
        <v>456.20861678</v>
      </c>
      <c r="P12" s="25"/>
    </row>
    <row r="13" spans="1:16" s="1" customFormat="1" ht="35.1" customHeight="1" thickBot="1" x14ac:dyDescent="0.25">
      <c r="A13" s="25"/>
      <c r="B13" s="272" t="s">
        <v>1058</v>
      </c>
      <c r="C13" s="170">
        <f>IFERROR(VLOOKUP(MID(B13,4,3),MMWR_TRAD_AGG_NATIONAL[],2,0),"--")</f>
        <v>1030</v>
      </c>
      <c r="D13" s="171">
        <f>IFERROR(VLOOKUP(MID(B13,4,3),MMWR_TRAD_AGG_NATIONAL[],3,0),"--")</f>
        <v>608</v>
      </c>
      <c r="E13" s="172">
        <f t="shared" si="0"/>
        <v>0.59029126213592231</v>
      </c>
      <c r="F13" s="25"/>
      <c r="G13" s="267" t="s">
        <v>271</v>
      </c>
      <c r="H13" s="170">
        <f>IFERROR(VLOOKUP(MID(G13,4,3),MMWR_TRAD_AGG_NATIONAL[],2,0),"--")</f>
        <v>4242</v>
      </c>
      <c r="I13" s="171">
        <f>IFERROR(VLOOKUP(MID(G13,4,3),MMWR_TRAD_AGG_NATIONAL[],3,0),"--")</f>
        <v>928</v>
      </c>
      <c r="J13" s="172">
        <f t="shared" si="1"/>
        <v>0.21876473361621876</v>
      </c>
      <c r="K13" s="69"/>
      <c r="L13" s="434" t="s">
        <v>977</v>
      </c>
      <c r="M13" s="435"/>
      <c r="N13" s="436">
        <f>VLOOKUP(L13,MMWR_APP_NATIONAL[],2,0)</f>
        <v>21946</v>
      </c>
      <c r="O13" s="437"/>
      <c r="P13" s="25"/>
    </row>
    <row r="14" spans="1:16" s="1" customFormat="1" ht="35.1" customHeight="1" thickBot="1" x14ac:dyDescent="0.25">
      <c r="A14" s="25"/>
      <c r="B14" s="273" t="s">
        <v>1</v>
      </c>
      <c r="C14" s="167">
        <f>SUM(C15:C21)</f>
        <v>202502</v>
      </c>
      <c r="D14" s="168">
        <f>SUM(D15:D21)</f>
        <v>38483</v>
      </c>
      <c r="E14" s="169">
        <f t="shared" si="0"/>
        <v>0.19003762925798265</v>
      </c>
      <c r="F14" s="25"/>
      <c r="G14" s="267" t="s">
        <v>273</v>
      </c>
      <c r="H14" s="170">
        <f>IFERROR(VLOOKUP(MID(G14,4,3),MMWR_TRAD_AGG_NATIONAL[],2,0),"--")</f>
        <v>11292</v>
      </c>
      <c r="I14" s="171">
        <f>IFERROR(VLOOKUP(MID(G14,4,3),MMWR_TRAD_AGG_NATIONAL[],3,0),"--")</f>
        <v>2981</v>
      </c>
      <c r="J14" s="172">
        <f t="shared" si="1"/>
        <v>0.26399220687212188</v>
      </c>
      <c r="K14" s="69"/>
      <c r="L14" s="21"/>
      <c r="M14" s="21"/>
      <c r="N14" s="28"/>
      <c r="O14" s="70"/>
      <c r="P14" s="25"/>
    </row>
    <row r="15" spans="1:16" s="1" customFormat="1" ht="35.1" customHeight="1" thickBot="1" x14ac:dyDescent="0.25">
      <c r="A15" s="25"/>
      <c r="B15" s="266" t="s">
        <v>253</v>
      </c>
      <c r="C15" s="170">
        <f>IFERROR(VLOOKUP(MID(B15,4,3),MMWR_TRAD_AGG_NATIONAL[],2,0),"--")</f>
        <v>201571</v>
      </c>
      <c r="D15" s="171">
        <f>IFERROR(VLOOKUP(MID(B15,4,3),MMWR_TRAD_AGG_NATIONAL[],3,0),"--")</f>
        <v>38090</v>
      </c>
      <c r="E15" s="172">
        <f t="shared" si="0"/>
        <v>0.18896567462581423</v>
      </c>
      <c r="F15" s="68" t="s">
        <v>309</v>
      </c>
      <c r="G15" s="267" t="s">
        <v>274</v>
      </c>
      <c r="H15" s="170">
        <f>IFERROR(VLOOKUP(MID(G15,4,3),MMWR_TRAD_AGG_NATIONAL[],2,0),"--")</f>
        <v>1</v>
      </c>
      <c r="I15" s="171">
        <f>IFERROR(VLOOKUP(MID(G15,4,3),MMWR_TRAD_AGG_NATIONAL[],3,0),"--")</f>
        <v>1</v>
      </c>
      <c r="J15" s="172">
        <f t="shared" si="1"/>
        <v>1</v>
      </c>
      <c r="K15" s="69"/>
      <c r="L15" s="25"/>
      <c r="M15" s="25"/>
      <c r="N15" s="25"/>
      <c r="O15" s="71"/>
      <c r="P15" s="25"/>
    </row>
    <row r="16" spans="1:16" s="1" customFormat="1" ht="35.1" customHeight="1" thickBot="1" x14ac:dyDescent="0.25">
      <c r="A16" s="25"/>
      <c r="B16" s="267" t="s">
        <v>254</v>
      </c>
      <c r="C16" s="170">
        <f>IFERROR(VLOOKUP(MID(B16,4,3),MMWR_TRAD_AGG_NATIONAL[],2,0),"--")</f>
        <v>726</v>
      </c>
      <c r="D16" s="171">
        <f>IFERROR(VLOOKUP(MID(B16,4,3),MMWR_TRAD_AGG_NATIONAL[],3,0),"--")</f>
        <v>227</v>
      </c>
      <c r="E16" s="172">
        <f t="shared" si="0"/>
        <v>0.31267217630853994</v>
      </c>
      <c r="F16" s="68" t="s">
        <v>309</v>
      </c>
      <c r="G16" s="267" t="s">
        <v>275</v>
      </c>
      <c r="H16" s="170">
        <f>IFERROR(VLOOKUP(MID(G16,4,3),MMWR_TRAD_AGG_NATIONAL[],2,0),"--")</f>
        <v>3406</v>
      </c>
      <c r="I16" s="171">
        <f>IFERROR(VLOOKUP(MID(G16,4,3),MMWR_TRAD_AGG_NATIONAL[],3,0),"--")</f>
        <v>1158</v>
      </c>
      <c r="J16" s="172">
        <f t="shared" si="1"/>
        <v>0.33998825601879035</v>
      </c>
      <c r="K16" s="69"/>
      <c r="L16" s="425" t="s">
        <v>949</v>
      </c>
      <c r="M16" s="426"/>
      <c r="N16" s="427"/>
      <c r="O16" s="71"/>
      <c r="P16" s="25"/>
    </row>
    <row r="17" spans="1:16" s="1" customFormat="1" ht="35.1" customHeight="1" thickBot="1" x14ac:dyDescent="0.25">
      <c r="A17" s="25"/>
      <c r="B17" s="267" t="s">
        <v>255</v>
      </c>
      <c r="C17" s="170">
        <f>IFERROR(VLOOKUP(MID(B17,4,3),MMWR_TRAD_AGG_NATIONAL[],2,0),"--")</f>
        <v>190</v>
      </c>
      <c r="D17" s="171">
        <f>IFERROR(VLOOKUP(MID(B17,4,3),MMWR_TRAD_AGG_NATIONAL[],3,0),"--")</f>
        <v>160</v>
      </c>
      <c r="E17" s="172">
        <f t="shared" si="0"/>
        <v>0.84210526315789469</v>
      </c>
      <c r="F17" s="25"/>
      <c r="G17" s="267" t="s">
        <v>276</v>
      </c>
      <c r="H17" s="170">
        <f>IFERROR(VLOOKUP(MID(G17,4,3),MMWR_TRAD_AGG_NATIONAL[],2,0),"--")</f>
        <v>6948</v>
      </c>
      <c r="I17" s="171">
        <f>IFERROR(VLOOKUP(MID(G17,4,3),MMWR_TRAD_AGG_NATIONAL[],3,0),"--")</f>
        <v>1440</v>
      </c>
      <c r="J17" s="172">
        <f t="shared" si="1"/>
        <v>0.20725388601036268</v>
      </c>
      <c r="K17" s="72"/>
      <c r="L17" s="438" t="s">
        <v>248</v>
      </c>
      <c r="M17" s="439"/>
      <c r="N17" s="185">
        <f>IFERROR(VLOOKUP("160",MMWR_TRAD_AGG_NATIONAL[],2,0),"--")</f>
        <v>28192</v>
      </c>
      <c r="O17" s="71"/>
      <c r="P17" s="25"/>
    </row>
    <row r="18" spans="1:16" s="1" customFormat="1" ht="35.1" customHeight="1" thickBot="1" x14ac:dyDescent="0.25">
      <c r="A18" s="25"/>
      <c r="B18" s="267" t="s">
        <v>256</v>
      </c>
      <c r="C18" s="170">
        <f>IFERROR(VLOOKUP(MID(B18,4,3),MMWR_TRAD_AGG_NATIONAL[],2,0),"--")</f>
        <v>7</v>
      </c>
      <c r="D18" s="171">
        <f>IFERROR(VLOOKUP(MID(B18,4,3),MMWR_TRAD_AGG_NATIONAL[],3,0),"--")</f>
        <v>2</v>
      </c>
      <c r="E18" s="172">
        <f t="shared" si="0"/>
        <v>0.2857142857142857</v>
      </c>
      <c r="F18" s="68" t="s">
        <v>309</v>
      </c>
      <c r="G18" s="273" t="s">
        <v>15</v>
      </c>
      <c r="H18" s="167">
        <f>SUM(H19:H21)</f>
        <v>612</v>
      </c>
      <c r="I18" s="167">
        <f>SUM(I19:I21)</f>
        <v>573</v>
      </c>
      <c r="J18" s="160">
        <f t="shared" ref="J18:J26" si="2">IF(I18="--", 0, I18/H18)</f>
        <v>0.93627450980392157</v>
      </c>
      <c r="K18" s="73"/>
      <c r="L18" s="440" t="s">
        <v>249</v>
      </c>
      <c r="M18" s="441"/>
      <c r="N18" s="186">
        <f>IFERROR(VLOOKUP("165",MMWR_TRAD_AGG_NATIONAL[],2,0),"--")</f>
        <v>9802</v>
      </c>
      <c r="O18" s="71"/>
      <c r="P18" s="25"/>
    </row>
    <row r="19" spans="1:16" s="1" customFormat="1" ht="35.1" customHeight="1" x14ac:dyDescent="0.4">
      <c r="A19" s="25"/>
      <c r="B19" s="267" t="s">
        <v>257</v>
      </c>
      <c r="C19" s="170">
        <f>IFERROR(VLOOKUP(MID(B19,4,3),MMWR_TRAD_AGG_NATIONAL[],2,0),"--")</f>
        <v>1</v>
      </c>
      <c r="D19" s="171">
        <f>IFERROR(VLOOKUP(MID(B19,4,3),MMWR_TRAD_AGG_NATIONAL[],3,0),"--")</f>
        <v>0</v>
      </c>
      <c r="E19" s="172">
        <f t="shared" si="0"/>
        <v>0</v>
      </c>
      <c r="F19" s="68" t="s">
        <v>309</v>
      </c>
      <c r="G19" s="267" t="s">
        <v>277</v>
      </c>
      <c r="H19" s="170">
        <f>IFERROR(VLOOKUP(MID(G19,4,3),MMWR_TRAD_AGG_NATIONAL[],2,0),"--")</f>
        <v>519</v>
      </c>
      <c r="I19" s="171">
        <f>IFERROR(VLOOKUP(MID(G19,4,3),MMWR_TRAD_AGG_NATIONAL[],3,0),"--")</f>
        <v>516</v>
      </c>
      <c r="J19" s="172">
        <f t="shared" si="2"/>
        <v>0.9942196531791907</v>
      </c>
      <c r="K19" s="56"/>
      <c r="L19" s="25"/>
      <c r="M19" s="25"/>
      <c r="N19" s="25"/>
      <c r="O19" s="71"/>
      <c r="P19" s="25"/>
    </row>
    <row r="20" spans="1:16" s="1" customFormat="1" ht="35.1" customHeight="1" x14ac:dyDescent="0.4">
      <c r="A20" s="25"/>
      <c r="B20" s="267" t="s">
        <v>258</v>
      </c>
      <c r="C20" s="170">
        <f>IFERROR(VLOOKUP(MID(B20,4,3),MMWR_TRAD_AGG_NATIONAL[],2,0),"--")</f>
        <v>3</v>
      </c>
      <c r="D20" s="171">
        <f>IFERROR(VLOOKUP(MID(B20,4,3),MMWR_TRAD_AGG_NATIONAL[],3,0),"--")</f>
        <v>1</v>
      </c>
      <c r="E20" s="172">
        <f t="shared" si="0"/>
        <v>0.33333333333333331</v>
      </c>
      <c r="F20" s="68" t="s">
        <v>309</v>
      </c>
      <c r="G20" s="267" t="s">
        <v>296</v>
      </c>
      <c r="H20" s="170">
        <f>IFERROR(VLOOKUP(MID(G20,4,3),MMWR_TRAD_AGG_NATIONAL[],2,0),"--")</f>
        <v>69</v>
      </c>
      <c r="I20" s="171">
        <f>IFERROR(VLOOKUP(MID(G20,4,3),MMWR_TRAD_AGG_NATIONAL[],3,0),"--")</f>
        <v>48</v>
      </c>
      <c r="J20" s="172">
        <f t="shared" si="2"/>
        <v>0.69565217391304346</v>
      </c>
      <c r="K20" s="56"/>
      <c r="L20" s="56"/>
      <c r="M20" s="56"/>
      <c r="N20" s="56"/>
      <c r="O20" s="74"/>
      <c r="P20" s="25"/>
    </row>
    <row r="21" spans="1:16" s="1" customFormat="1" ht="35.1" customHeight="1" thickBot="1" x14ac:dyDescent="0.45">
      <c r="A21" s="25"/>
      <c r="B21" s="267" t="s">
        <v>259</v>
      </c>
      <c r="C21" s="170">
        <f>IFERROR(VLOOKUP(MID(B21,4,3),MMWR_TRAD_AGG_NATIONAL[],2,0),"--")</f>
        <v>4</v>
      </c>
      <c r="D21" s="171">
        <f>IFERROR(VLOOKUP(MID(B21,4,3),MMWR_TRAD_AGG_NATIONAL[],3,0),"--")</f>
        <v>3</v>
      </c>
      <c r="E21" s="172">
        <f t="shared" si="0"/>
        <v>0.75</v>
      </c>
      <c r="F21" s="68" t="s">
        <v>309</v>
      </c>
      <c r="G21" s="267" t="s">
        <v>278</v>
      </c>
      <c r="H21" s="170">
        <f>IFERROR(VLOOKUP(MID(G21,4,3),MMWR_TRAD_AGG_NATIONAL[],2,0),"--")</f>
        <v>24</v>
      </c>
      <c r="I21" s="171">
        <f>IFERROR(VLOOKUP(MID(G21,4,3),MMWR_TRAD_AGG_NATIONAL[],3,0),"--")</f>
        <v>9</v>
      </c>
      <c r="J21" s="172">
        <f t="shared" si="2"/>
        <v>0.375</v>
      </c>
      <c r="K21" s="56"/>
      <c r="L21" s="56"/>
      <c r="M21" s="56"/>
      <c r="N21" s="56"/>
      <c r="O21" s="74"/>
      <c r="P21" s="25"/>
    </row>
    <row r="22" spans="1:16" s="1" customFormat="1" ht="35.1" customHeight="1" thickBot="1" x14ac:dyDescent="0.45">
      <c r="A22" s="25"/>
      <c r="B22" s="273" t="s">
        <v>13</v>
      </c>
      <c r="C22" s="167">
        <f>SUM(C23:C29)</f>
        <v>473384</v>
      </c>
      <c r="D22" s="168">
        <f>SUM(D23:D29)</f>
        <v>306817</v>
      </c>
      <c r="E22" s="169">
        <f t="shared" si="0"/>
        <v>0.64813555168742498</v>
      </c>
      <c r="F22" s="25"/>
      <c r="G22" s="273" t="s">
        <v>227</v>
      </c>
      <c r="H22" s="167">
        <f>SUM(H23:H26)</f>
        <v>1798</v>
      </c>
      <c r="I22" s="167">
        <f>SUM(I23:I26)</f>
        <v>571</v>
      </c>
      <c r="J22" s="160">
        <f t="shared" si="2"/>
        <v>0.31757508342602891</v>
      </c>
      <c r="K22" s="56"/>
      <c r="L22" s="25"/>
      <c r="M22" s="25"/>
      <c r="N22" s="25"/>
      <c r="O22" s="74"/>
      <c r="P22" s="25"/>
    </row>
    <row r="23" spans="1:16" s="1" customFormat="1" ht="35.1" customHeight="1" x14ac:dyDescent="0.4">
      <c r="A23" s="25"/>
      <c r="B23" s="272" t="s">
        <v>260</v>
      </c>
      <c r="C23" s="170">
        <f>IFERROR(VLOOKUP(MID(B23,4,3),MMWR_TRAD_AGG_NATIONAL[],2,0),"--")</f>
        <v>214118</v>
      </c>
      <c r="D23" s="171">
        <f>IFERROR(VLOOKUP(MID(B23,4,3),MMWR_TRAD_AGG_NATIONAL[],3,0),"--")</f>
        <v>151895</v>
      </c>
      <c r="E23" s="172">
        <f t="shared" si="0"/>
        <v>0.7093985559364463</v>
      </c>
      <c r="F23" s="25"/>
      <c r="G23" s="274" t="s">
        <v>281</v>
      </c>
      <c r="H23" s="173">
        <f>IFERROR(VLOOKUP(MID(G23,4,3),MMWR_TRAD_AGG_NATIONAL[],2,0),"--")</f>
        <v>324</v>
      </c>
      <c r="I23" s="174">
        <f>IFERROR(VLOOKUP(MID(G23,4,3),MMWR_TRAD_AGG_NATIONAL[],3,0),"--")</f>
        <v>149</v>
      </c>
      <c r="J23" s="175">
        <f t="shared" si="2"/>
        <v>0.45987654320987653</v>
      </c>
      <c r="K23" s="56"/>
      <c r="L23" s="25"/>
      <c r="M23" s="25"/>
      <c r="N23" s="25"/>
      <c r="O23" s="74"/>
      <c r="P23" s="25"/>
    </row>
    <row r="24" spans="1:16" s="1" customFormat="1" ht="35.1" customHeight="1" x14ac:dyDescent="0.4">
      <c r="A24" s="25"/>
      <c r="B24" s="272" t="s">
        <v>261</v>
      </c>
      <c r="C24" s="170">
        <f>IFERROR(VLOOKUP(MID(B24,4,3),MMWR_TRAD_AGG_NATIONAL[],2,0),"--")</f>
        <v>210</v>
      </c>
      <c r="D24" s="171">
        <f>IFERROR(VLOOKUP(MID(B24,4,3),MMWR_TRAD_AGG_NATIONAL[],3,0),"--")</f>
        <v>129</v>
      </c>
      <c r="E24" s="172">
        <f t="shared" si="0"/>
        <v>0.61428571428571432</v>
      </c>
      <c r="F24" s="25"/>
      <c r="G24" s="267" t="s">
        <v>280</v>
      </c>
      <c r="H24" s="170">
        <f>IFERROR(VLOOKUP(MID(G24,4,3),MMWR_TRAD_AGG_NATIONAL[],2,0),"--")</f>
        <v>706</v>
      </c>
      <c r="I24" s="171">
        <f>IFERROR(VLOOKUP(MID(G24,4,3),MMWR_TRAD_AGG_NATIONAL[],3,0),"--")</f>
        <v>22</v>
      </c>
      <c r="J24" s="172">
        <f t="shared" si="2"/>
        <v>3.1161473087818695E-2</v>
      </c>
      <c r="K24" s="56"/>
      <c r="L24" s="25"/>
      <c r="M24" s="25"/>
      <c r="N24" s="25"/>
      <c r="O24" s="74"/>
      <c r="P24" s="25"/>
    </row>
    <row r="25" spans="1:16" s="1" customFormat="1" ht="35.1" customHeight="1" x14ac:dyDescent="0.4">
      <c r="A25" s="25"/>
      <c r="B25" s="272" t="s">
        <v>262</v>
      </c>
      <c r="C25" s="170">
        <f>IFERROR(VLOOKUP(MID(B25,4,3),MMWR_TRAD_AGG_NATIONAL[],2,0),"--")</f>
        <v>293</v>
      </c>
      <c r="D25" s="171">
        <f>IFERROR(VLOOKUP(MID(B25,4,3),MMWR_TRAD_AGG_NATIONAL[],3,0),"--")</f>
        <v>189</v>
      </c>
      <c r="E25" s="172">
        <f t="shared" si="0"/>
        <v>0.6450511945392492</v>
      </c>
      <c r="F25" s="25"/>
      <c r="G25" s="267" t="s">
        <v>279</v>
      </c>
      <c r="H25" s="170">
        <f>IFERROR(VLOOKUP(MID(G25,4,3),MMWR_TRAD_AGG_NATIONAL[],2,0),"--")</f>
        <v>730</v>
      </c>
      <c r="I25" s="171">
        <f>IFERROR(VLOOKUP(MID(G25,4,3),MMWR_TRAD_AGG_NATIONAL[],3,0),"--")</f>
        <v>372</v>
      </c>
      <c r="J25" s="172">
        <f t="shared" si="2"/>
        <v>0.50958904109589043</v>
      </c>
      <c r="K25" s="56"/>
      <c r="L25" s="56"/>
      <c r="M25" s="56"/>
      <c r="N25" s="56"/>
      <c r="O25" s="74"/>
      <c r="P25" s="25"/>
    </row>
    <row r="26" spans="1:16" s="1" customFormat="1" ht="35.1" customHeight="1" thickBot="1" x14ac:dyDescent="0.45">
      <c r="A26" s="25"/>
      <c r="B26" s="272" t="s">
        <v>263</v>
      </c>
      <c r="C26" s="170">
        <f>IFERROR(VLOOKUP(MID(B26,4,3),MMWR_TRAD_AGG_NATIONAL[],2,0),"--")</f>
        <v>111073</v>
      </c>
      <c r="D26" s="171">
        <f>IFERROR(VLOOKUP(MID(B26,4,3),MMWR_TRAD_AGG_NATIONAL[],3,0),"--")</f>
        <v>87112</v>
      </c>
      <c r="E26" s="172">
        <f t="shared" si="0"/>
        <v>0.78427700701340564</v>
      </c>
      <c r="F26" s="56"/>
      <c r="G26" s="268" t="s">
        <v>312</v>
      </c>
      <c r="H26" s="176">
        <f>IFERROR(VLOOKUP(MID(G26,4,3),MMWR_TRAD_AGG_NATIONAL[],2,0),"--")</f>
        <v>38</v>
      </c>
      <c r="I26" s="177">
        <f>IFERROR(VLOOKUP(MID(G26,4,3),MMWR_TRAD_AGG_NATIONAL[],3,0),"--")</f>
        <v>28</v>
      </c>
      <c r="J26" s="178">
        <f t="shared" si="2"/>
        <v>0.73684210526315785</v>
      </c>
      <c r="K26" s="56"/>
      <c r="L26" s="56"/>
      <c r="M26" s="56"/>
      <c r="N26" s="56"/>
      <c r="O26" s="74"/>
      <c r="P26" s="25"/>
    </row>
    <row r="27" spans="1:16" s="1" customFormat="1" ht="35.1" customHeight="1" thickBot="1" x14ac:dyDescent="0.45">
      <c r="A27" s="25"/>
      <c r="B27" s="272" t="s">
        <v>264</v>
      </c>
      <c r="C27" s="170">
        <f>IFERROR(VLOOKUP(MID(B27,4,3),MMWR_TRAD_AGG_NATIONAL[],2,0),"--")</f>
        <v>365</v>
      </c>
      <c r="D27" s="171">
        <f>IFERROR(VLOOKUP(MID(B27,4,3),MMWR_TRAD_AGG_NATIONAL[],3,0),"--")</f>
        <v>27</v>
      </c>
      <c r="E27" s="172">
        <f t="shared" si="0"/>
        <v>7.3972602739726029E-2</v>
      </c>
      <c r="F27" s="56"/>
      <c r="G27" s="56"/>
      <c r="H27" s="56"/>
      <c r="I27" s="56"/>
      <c r="J27" s="56"/>
      <c r="K27" s="56"/>
      <c r="L27" s="56"/>
      <c r="M27" s="56"/>
      <c r="N27" s="56"/>
      <c r="O27" s="74"/>
      <c r="P27" s="25"/>
    </row>
    <row r="28" spans="1:16" s="1" customFormat="1" ht="35.1" customHeight="1" x14ac:dyDescent="0.4">
      <c r="A28" s="25"/>
      <c r="B28" s="272" t="s">
        <v>265</v>
      </c>
      <c r="C28" s="170">
        <f>IFERROR(VLOOKUP(MID(B28,4,3),MMWR_TRAD_AGG_NATIONAL[],2,0),"--")</f>
        <v>15524</v>
      </c>
      <c r="D28" s="171">
        <f>IFERROR(VLOOKUP(MID(B28,4,3),MMWR_TRAD_AGG_NATIONAL[],3,0),"--")</f>
        <v>1691</v>
      </c>
      <c r="E28" s="172">
        <f t="shared" si="0"/>
        <v>0.10892811131151765</v>
      </c>
      <c r="F28" s="68" t="s">
        <v>309</v>
      </c>
      <c r="G28" s="428" t="s">
        <v>311</v>
      </c>
      <c r="H28" s="429"/>
      <c r="I28" s="429"/>
      <c r="J28" s="430"/>
      <c r="K28" s="412" t="s">
        <v>309</v>
      </c>
      <c r="L28" s="75"/>
      <c r="M28" s="56"/>
      <c r="N28" s="56"/>
      <c r="O28" s="74"/>
      <c r="P28" s="25"/>
    </row>
    <row r="29" spans="1:16" s="1" customFormat="1" ht="35.1" customHeight="1" thickBot="1" x14ac:dyDescent="0.45">
      <c r="A29" s="25"/>
      <c r="B29" s="272" t="s">
        <v>266</v>
      </c>
      <c r="C29" s="170">
        <f>IFERROR(VLOOKUP(MID(B29,4,3),MMWR_TRAD_AGG_NATIONAL[],2,0),"--")</f>
        <v>131801</v>
      </c>
      <c r="D29" s="171">
        <f>IFERROR(VLOOKUP(MID(B29,4,3),MMWR_TRAD_AGG_NATIONAL[],3,0),"--")</f>
        <v>65774</v>
      </c>
      <c r="E29" s="172">
        <f t="shared" si="0"/>
        <v>0.49904021972519175</v>
      </c>
      <c r="F29" s="56"/>
      <c r="G29" s="431"/>
      <c r="H29" s="432"/>
      <c r="I29" s="432"/>
      <c r="J29" s="433"/>
      <c r="K29" s="412"/>
      <c r="L29" s="76"/>
      <c r="M29" s="56"/>
      <c r="N29" s="56"/>
      <c r="O29" s="74"/>
      <c r="P29" s="25"/>
    </row>
    <row r="30" spans="1:16" s="1" customFormat="1" ht="35.1" customHeight="1" thickBot="1" x14ac:dyDescent="0.45">
      <c r="A30" s="25"/>
      <c r="B30" s="273" t="s">
        <v>32</v>
      </c>
      <c r="C30" s="168">
        <f>SUM(C31:C35)</f>
        <v>131921</v>
      </c>
      <c r="D30" s="168">
        <f>SUM(D31:D35)</f>
        <v>85935</v>
      </c>
      <c r="E30" s="160">
        <f t="shared" si="0"/>
        <v>0.65141258783665978</v>
      </c>
      <c r="F30" s="56"/>
      <c r="G30" s="28"/>
      <c r="H30" s="28"/>
      <c r="I30" s="28"/>
      <c r="J30" s="28"/>
      <c r="K30" s="28"/>
      <c r="L30" s="56"/>
      <c r="M30" s="56"/>
      <c r="N30" s="56"/>
      <c r="O30" s="74"/>
      <c r="P30" s="25"/>
    </row>
    <row r="31" spans="1:16" s="1" customFormat="1" ht="35.1" customHeight="1" x14ac:dyDescent="0.4">
      <c r="A31" s="25"/>
      <c r="B31" s="267" t="s">
        <v>283</v>
      </c>
      <c r="C31" s="170">
        <f>IFERROR(VLOOKUP(MID(B31,4,3),MMWR_TRAD_AGG_NATIONAL[],2,0),"--")</f>
        <v>57</v>
      </c>
      <c r="D31" s="171">
        <f>IFERROR(VLOOKUP(MID(B31,4,3),MMWR_TRAD_AGG_NATIONAL[],3,0),"--")</f>
        <v>41</v>
      </c>
      <c r="E31" s="172">
        <f t="shared" si="0"/>
        <v>0.7192982456140351</v>
      </c>
      <c r="F31" s="56"/>
      <c r="G31" s="56"/>
      <c r="H31" s="56"/>
      <c r="I31" s="56"/>
      <c r="J31" s="56"/>
      <c r="K31" s="56"/>
      <c r="L31" s="56"/>
      <c r="M31" s="56"/>
      <c r="N31" s="56"/>
      <c r="O31" s="74"/>
      <c r="P31" s="25"/>
    </row>
    <row r="32" spans="1:16" s="1" customFormat="1" ht="35.1" customHeight="1" x14ac:dyDescent="0.4">
      <c r="A32" s="25"/>
      <c r="B32" s="267" t="s">
        <v>1059</v>
      </c>
      <c r="C32" s="170">
        <f>IFERROR(VLOOKUP(MID(B32,4,3),MMWR_TRAD_AGG_NATIONAL[],2,0),"--")</f>
        <v>4385</v>
      </c>
      <c r="D32" s="171">
        <f>IFERROR(VLOOKUP(MID(B32,4,3),MMWR_TRAD_AGG_NATIONAL[],3,0),"--")</f>
        <v>4104</v>
      </c>
      <c r="E32" s="172">
        <f t="shared" si="0"/>
        <v>0.9359179019384265</v>
      </c>
      <c r="F32" s="56"/>
      <c r="G32" s="56"/>
      <c r="H32" s="56"/>
      <c r="I32" s="56"/>
      <c r="J32" s="56"/>
      <c r="K32" s="56"/>
      <c r="L32" s="56"/>
      <c r="M32" s="56"/>
      <c r="N32" s="56"/>
      <c r="O32" s="74"/>
      <c r="P32" s="25"/>
    </row>
    <row r="33" spans="1:16" s="1" customFormat="1" ht="35.1" customHeight="1" x14ac:dyDescent="0.4">
      <c r="A33" s="25"/>
      <c r="B33" s="267" t="s">
        <v>1060</v>
      </c>
      <c r="C33" s="170">
        <f>IFERROR(VLOOKUP(MID(B33,4,3),MMWR_TRAD_AGG_NATIONAL[],2,0),"--")</f>
        <v>44269</v>
      </c>
      <c r="D33" s="171">
        <f>IFERROR(VLOOKUP(MID(B33,4,3),MMWR_TRAD_AGG_NATIONAL[],3,0),"--")</f>
        <v>10533</v>
      </c>
      <c r="E33" s="172">
        <f t="shared" si="0"/>
        <v>0.23793173552598884</v>
      </c>
      <c r="F33" s="56"/>
      <c r="G33" s="56"/>
      <c r="H33" s="28"/>
      <c r="I33" s="28"/>
      <c r="J33" s="28"/>
      <c r="K33" s="28"/>
      <c r="L33" s="28"/>
      <c r="M33" s="56"/>
      <c r="N33" s="56"/>
      <c r="O33" s="74"/>
      <c r="P33" s="25"/>
    </row>
    <row r="34" spans="1:16" s="1" customFormat="1" ht="35.1" customHeight="1" x14ac:dyDescent="0.4">
      <c r="A34" s="25"/>
      <c r="B34" s="267" t="s">
        <v>284</v>
      </c>
      <c r="C34" s="170">
        <f>IFERROR(VLOOKUP(MID(B34,4,3),MMWR_TRAD_AGG_NATIONAL[],2,0),"--")</f>
        <v>19911</v>
      </c>
      <c r="D34" s="171">
        <f>IFERROR(VLOOKUP(MID(B34,4,3),MMWR_TRAD_AGG_NATIONAL[],3,0),"--")</f>
        <v>14645</v>
      </c>
      <c r="E34" s="172">
        <f t="shared" si="0"/>
        <v>0.7355230776957461</v>
      </c>
      <c r="F34" s="56"/>
      <c r="G34" s="56"/>
      <c r="H34" s="28"/>
      <c r="I34" s="28"/>
      <c r="J34" s="28"/>
      <c r="K34" s="28"/>
      <c r="L34" s="28"/>
      <c r="M34" s="56"/>
      <c r="N34" s="56"/>
      <c r="O34" s="74"/>
      <c r="P34" s="25"/>
    </row>
    <row r="35" spans="1:16" s="1" customFormat="1" ht="35.1" customHeight="1" thickBot="1" x14ac:dyDescent="0.45">
      <c r="A35" s="25"/>
      <c r="B35" s="267" t="s">
        <v>285</v>
      </c>
      <c r="C35" s="170">
        <f>IFERROR(VLOOKUP(MID(B35,4,3)&amp;"G",MMWR_TRAD_AGG_NATIONAL[],2,0),"--")</f>
        <v>63299</v>
      </c>
      <c r="D35" s="171">
        <f>IFERROR(VLOOKUP(MID(B35,4,3)&amp;"G",MMWR_TRAD_AGG_NATIONAL[],3,0),"--")</f>
        <v>56612</v>
      </c>
      <c r="E35" s="172">
        <f t="shared" si="0"/>
        <v>0.8943585206717326</v>
      </c>
      <c r="F35" s="56"/>
      <c r="G35" s="56"/>
      <c r="H35" s="56"/>
      <c r="I35" s="56"/>
      <c r="J35" s="56"/>
      <c r="K35" s="56"/>
      <c r="L35" s="56"/>
      <c r="M35" s="56"/>
      <c r="N35" s="56"/>
      <c r="O35" s="74"/>
      <c r="P35" s="25"/>
    </row>
    <row r="36" spans="1:16" s="1" customFormat="1" ht="35.1" customHeight="1" thickBot="1" x14ac:dyDescent="0.45">
      <c r="A36" s="25"/>
      <c r="B36" s="273" t="s">
        <v>241</v>
      </c>
      <c r="C36" s="167">
        <f>SUM(C37:C44)</f>
        <v>153557</v>
      </c>
      <c r="D36" s="168">
        <f>SUM(D37:D44)</f>
        <v>98418</v>
      </c>
      <c r="E36" s="169">
        <f t="shared" si="0"/>
        <v>0.64092161217007371</v>
      </c>
      <c r="F36" s="56"/>
      <c r="G36" s="56"/>
      <c r="H36" s="56"/>
      <c r="I36" s="56"/>
      <c r="J36" s="56"/>
      <c r="K36" s="56"/>
      <c r="L36" s="56"/>
      <c r="M36" s="56"/>
      <c r="N36" s="56"/>
      <c r="O36" s="74"/>
      <c r="P36" s="25"/>
    </row>
    <row r="37" spans="1:16" s="1" customFormat="1" ht="35.1" customHeight="1" x14ac:dyDescent="0.4">
      <c r="A37" s="25"/>
      <c r="B37" s="267" t="s">
        <v>286</v>
      </c>
      <c r="C37" s="173">
        <f>IFERROR(VLOOKUP(MID(B37,4,3),MMWR_TRAD_AGG_NATIONAL[],2,0),"--")</f>
        <v>7119</v>
      </c>
      <c r="D37" s="174">
        <f>IFERROR(VLOOKUP(MID(B37,4,3),MMWR_TRAD_AGG_NATIONAL[],3,0),"--")</f>
        <v>5615</v>
      </c>
      <c r="E37" s="175">
        <f t="shared" si="0"/>
        <v>0.78873437280516923</v>
      </c>
      <c r="F37" s="56"/>
      <c r="G37" s="56"/>
      <c r="H37" s="56"/>
      <c r="I37" s="56"/>
      <c r="J37" s="56"/>
      <c r="K37" s="56"/>
      <c r="L37" s="56"/>
      <c r="M37" s="56"/>
      <c r="N37" s="56"/>
      <c r="O37" s="74"/>
      <c r="P37" s="25"/>
    </row>
    <row r="38" spans="1:16" s="1" customFormat="1" ht="35.1" customHeight="1" x14ac:dyDescent="0.4">
      <c r="A38" s="25"/>
      <c r="B38" s="267" t="s">
        <v>1061</v>
      </c>
      <c r="C38" s="170">
        <f>IFERROR(VLOOKUP(MID(B38,4,3),MMWR_TRAD_AGG_NATIONAL[],2,0),"--")</f>
        <v>115</v>
      </c>
      <c r="D38" s="171">
        <f>IFERROR(VLOOKUP(MID(B38,4,3),MMWR_TRAD_AGG_NATIONAL[],3,0),"--")</f>
        <v>112</v>
      </c>
      <c r="E38" s="172">
        <f t="shared" ref="E38:E39" si="3">IF(D38="--", 0, D38/C38)</f>
        <v>0.97391304347826091</v>
      </c>
      <c r="F38" s="56"/>
      <c r="G38" s="56"/>
      <c r="H38" s="75"/>
      <c r="I38" s="75"/>
      <c r="J38" s="75"/>
      <c r="K38" s="75"/>
      <c r="L38" s="56"/>
      <c r="M38" s="56"/>
      <c r="N38" s="56"/>
      <c r="O38" s="74"/>
      <c r="P38" s="25"/>
    </row>
    <row r="39" spans="1:16" s="1" customFormat="1" ht="35.1" customHeight="1" x14ac:dyDescent="0.4">
      <c r="A39" s="25"/>
      <c r="B39" s="267" t="s">
        <v>1062</v>
      </c>
      <c r="C39" s="170">
        <f>IFERROR(VLOOKUP(MID(B39,4,3),MMWR_TRAD_AGG_NATIONAL[],2,0),"--")</f>
        <v>1278</v>
      </c>
      <c r="D39" s="171">
        <f>IFERROR(VLOOKUP(MID(B39,4,3),MMWR_TRAD_AGG_NATIONAL[],3,0),"--")</f>
        <v>739</v>
      </c>
      <c r="E39" s="172">
        <f t="shared" si="3"/>
        <v>0.57824726134585291</v>
      </c>
      <c r="F39" s="56"/>
      <c r="G39" s="56"/>
      <c r="H39" s="75"/>
      <c r="I39" s="75"/>
      <c r="J39" s="75"/>
      <c r="K39" s="75"/>
      <c r="L39" s="56"/>
      <c r="M39" s="56"/>
      <c r="N39" s="56"/>
      <c r="O39" s="74"/>
      <c r="P39" s="25"/>
    </row>
    <row r="40" spans="1:16" s="1" customFormat="1" ht="35.1" customHeight="1" x14ac:dyDescent="0.4">
      <c r="A40" s="25"/>
      <c r="B40" s="267" t="s">
        <v>287</v>
      </c>
      <c r="C40" s="170">
        <f>IFERROR(VLOOKUP(MID(B40,4,3),MMWR_TRAD_AGG_NATIONAL[],2,0),"--")</f>
        <v>73650</v>
      </c>
      <c r="D40" s="171">
        <f>IFERROR(VLOOKUP(MID(B40,4,3),MMWR_TRAD_AGG_NATIONAL[],3,0),"--")</f>
        <v>55790</v>
      </c>
      <c r="E40" s="172">
        <f t="shared" si="0"/>
        <v>0.7575016972165648</v>
      </c>
      <c r="F40" s="56"/>
      <c r="G40" s="56"/>
      <c r="H40" s="56"/>
      <c r="I40" s="56"/>
      <c r="J40" s="56"/>
      <c r="K40" s="56"/>
      <c r="L40" s="56"/>
      <c r="M40" s="56"/>
      <c r="N40" s="56"/>
      <c r="O40" s="74"/>
      <c r="P40" s="25"/>
    </row>
    <row r="41" spans="1:16" s="1" customFormat="1" ht="35.1" customHeight="1" x14ac:dyDescent="0.4">
      <c r="A41" s="25"/>
      <c r="B41" s="267" t="s">
        <v>288</v>
      </c>
      <c r="C41" s="170">
        <f>IFERROR(VLOOKUP(MID(B41,4,3),MMWR_TRAD_AGG_NATIONAL[],2,0),"--")</f>
        <v>1739</v>
      </c>
      <c r="D41" s="171">
        <f>IFERROR(VLOOKUP(MID(B41,4,3),MMWR_TRAD_AGG_NATIONAL[],3,0),"--")</f>
        <v>578</v>
      </c>
      <c r="E41" s="172">
        <f t="shared" si="0"/>
        <v>0.33237492811960895</v>
      </c>
      <c r="F41" s="56"/>
      <c r="G41" s="56"/>
      <c r="H41" s="56"/>
      <c r="I41" s="56"/>
      <c r="J41" s="56"/>
      <c r="K41" s="56"/>
      <c r="L41" s="56"/>
      <c r="M41" s="56"/>
      <c r="N41" s="56"/>
      <c r="O41" s="74"/>
      <c r="P41" s="25"/>
    </row>
    <row r="42" spans="1:16" s="1" customFormat="1" ht="35.1" customHeight="1" x14ac:dyDescent="0.4">
      <c r="A42" s="25"/>
      <c r="B42" s="267" t="s">
        <v>289</v>
      </c>
      <c r="C42" s="170">
        <f>IFERROR(VLOOKUP(MID(B42,4,3),MMWR_TRAD_AGG_NATIONAL[],2,0),"--")</f>
        <v>54900</v>
      </c>
      <c r="D42" s="171">
        <f>IFERROR(VLOOKUP(MID(B42,4,3),MMWR_TRAD_AGG_NATIONAL[],3,0),"--")</f>
        <v>23257</v>
      </c>
      <c r="E42" s="172">
        <f t="shared" si="0"/>
        <v>0.42362477231329693</v>
      </c>
      <c r="F42" s="56"/>
      <c r="G42" s="56"/>
      <c r="H42" s="56"/>
      <c r="I42" s="56"/>
      <c r="J42" s="56"/>
      <c r="K42" s="56"/>
      <c r="L42" s="56"/>
      <c r="M42" s="56"/>
      <c r="N42" s="56"/>
      <c r="O42" s="74"/>
      <c r="P42" s="25"/>
    </row>
    <row r="43" spans="1:16" s="1" customFormat="1" ht="35.1" customHeight="1" x14ac:dyDescent="0.4">
      <c r="A43" s="25"/>
      <c r="B43" s="267" t="s">
        <v>290</v>
      </c>
      <c r="C43" s="170">
        <f>IFERROR(VLOOKUP(MID(B43,4,3),MMWR_TRAD_AGG_NATIONAL[],2,0),"--")</f>
        <v>14211</v>
      </c>
      <c r="D43" s="171">
        <f>IFERROR(VLOOKUP(MID(B43,4,3),MMWR_TRAD_AGG_NATIONAL[],3,0),"--")</f>
        <v>11876</v>
      </c>
      <c r="E43" s="172">
        <f t="shared" si="0"/>
        <v>0.83569066216311305</v>
      </c>
      <c r="F43" s="56"/>
      <c r="G43" s="56"/>
      <c r="H43" s="56"/>
      <c r="I43" s="56"/>
      <c r="J43" s="56"/>
      <c r="K43" s="56"/>
      <c r="L43" s="56"/>
      <c r="M43" s="56"/>
      <c r="N43" s="56"/>
      <c r="O43" s="74"/>
      <c r="P43" s="25"/>
    </row>
    <row r="44" spans="1:16" s="1" customFormat="1" ht="35.1" customHeight="1" thickBot="1" x14ac:dyDescent="0.45">
      <c r="A44" s="25"/>
      <c r="B44" s="268" t="s">
        <v>291</v>
      </c>
      <c r="C44" s="176">
        <f>IFERROR(VLOOKUP(MID(B44,4,3),MMWR_TRAD_AGG_NATIONAL[],2,0),"--")</f>
        <v>545</v>
      </c>
      <c r="D44" s="177">
        <f>IFERROR(VLOOKUP(MID(B44,4,3),MMWR_TRAD_AGG_NATIONAL[],3,0),"--")</f>
        <v>451</v>
      </c>
      <c r="E44" s="178">
        <f t="shared" si="0"/>
        <v>0.8275229357798165</v>
      </c>
      <c r="F44" s="77"/>
      <c r="G44" s="77"/>
      <c r="H44" s="77"/>
      <c r="I44" s="77"/>
      <c r="J44" s="77"/>
      <c r="K44" s="77"/>
      <c r="L44" s="77"/>
      <c r="M44" s="77"/>
      <c r="N44" s="77"/>
      <c r="O44" s="78"/>
      <c r="P44" s="25"/>
    </row>
    <row r="45" spans="1:16" s="1" customFormat="1" ht="15" customHeight="1" x14ac:dyDescent="0.2">
      <c r="A45" s="28"/>
      <c r="B45" s="28"/>
      <c r="C45" s="28"/>
      <c r="D45" s="28"/>
      <c r="E45" s="28"/>
      <c r="F45" s="28"/>
      <c r="G45" s="28"/>
      <c r="H45" s="28"/>
      <c r="I45" s="28"/>
      <c r="J45" s="28"/>
      <c r="K45" s="28"/>
      <c r="L45" s="28"/>
      <c r="M45" s="28"/>
      <c r="N45" s="28"/>
      <c r="O45" s="28"/>
      <c r="P45" s="28"/>
    </row>
    <row r="46" spans="1:16" hidden="1" x14ac:dyDescent="0.2"/>
    <row r="47" spans="1:16" hidden="1" x14ac:dyDescent="0.2"/>
    <row r="48" spans="1:16" hidden="1" x14ac:dyDescent="0.2"/>
  </sheetData>
  <sheetProtection password="BD20" sheet="1" autoFilter="0"/>
  <mergeCells count="13">
    <mergeCell ref="K28:K29"/>
    <mergeCell ref="B2:O2"/>
    <mergeCell ref="B4:O4"/>
    <mergeCell ref="B3:O3"/>
    <mergeCell ref="G5:J5"/>
    <mergeCell ref="B5:E5"/>
    <mergeCell ref="L5:O5"/>
    <mergeCell ref="G28:J29"/>
    <mergeCell ref="L16:N16"/>
    <mergeCell ref="L13:M13"/>
    <mergeCell ref="N13:O13"/>
    <mergeCell ref="L17:M17"/>
    <mergeCell ref="L18:M18"/>
  </mergeCells>
  <conditionalFormatting sqref="E30 E38:E39">
    <cfRule type="expression" dxfId="415" priority="89" stopIfTrue="1">
      <formula>ISERROR(E30)</formula>
    </cfRule>
  </conditionalFormatting>
  <conditionalFormatting sqref="G8">
    <cfRule type="expression" dxfId="414" priority="83" stopIfTrue="1">
      <formula>ISERROR(G8)</formula>
    </cfRule>
  </conditionalFormatting>
  <conditionalFormatting sqref="G10">
    <cfRule type="expression" dxfId="413" priority="79" stopIfTrue="1">
      <formula>ISERROR(G10)</formula>
    </cfRule>
  </conditionalFormatting>
  <conditionalFormatting sqref="J11">
    <cfRule type="expression" dxfId="412" priority="76" stopIfTrue="1">
      <formula>ISERROR(J11)</formula>
    </cfRule>
  </conditionalFormatting>
  <conditionalFormatting sqref="J18">
    <cfRule type="expression" dxfId="411" priority="75" stopIfTrue="1">
      <formula>ISERROR(J18)</formula>
    </cfRule>
  </conditionalFormatting>
  <conditionalFormatting sqref="J22">
    <cfRule type="expression" dxfId="410" priority="73" stopIfTrue="1">
      <formula>ISERROR(J22)</formula>
    </cfRule>
  </conditionalFormatting>
  <conditionalFormatting sqref="C6">
    <cfRule type="expression" dxfId="409" priority="58" stopIfTrue="1">
      <formula>ISERROR(C6)</formula>
    </cfRule>
  </conditionalFormatting>
  <conditionalFormatting sqref="H6">
    <cfRule type="expression" dxfId="408" priority="57" stopIfTrue="1">
      <formula>ISERROR(H6)</formula>
    </cfRule>
  </conditionalFormatting>
  <conditionalFormatting sqref="M6">
    <cfRule type="expression" dxfId="407" priority="51" stopIfTrue="1">
      <formula>ISERROR(M6)</formula>
    </cfRule>
  </conditionalFormatting>
  <conditionalFormatting sqref="O6">
    <cfRule type="expression" dxfId="406" priority="50" stopIfTrue="1">
      <formula>ISERROR(O6)</formula>
    </cfRule>
  </conditionalFormatting>
  <conditionalFormatting sqref="E8">
    <cfRule type="expression" dxfId="405" priority="49" stopIfTrue="1">
      <formula>ISERROR(E8)</formula>
    </cfRule>
  </conditionalFormatting>
  <conditionalFormatting sqref="E9">
    <cfRule type="expression" dxfId="404" priority="48" stopIfTrue="1">
      <formula>ISERROR(E9)</formula>
    </cfRule>
  </conditionalFormatting>
  <conditionalFormatting sqref="E10">
    <cfRule type="expression" dxfId="403" priority="47" stopIfTrue="1">
      <formula>ISERROR(E10)</formula>
    </cfRule>
  </conditionalFormatting>
  <conditionalFormatting sqref="E12">
    <cfRule type="expression" dxfId="402" priority="46" stopIfTrue="1">
      <formula>ISERROR(E12)</formula>
    </cfRule>
  </conditionalFormatting>
  <conditionalFormatting sqref="E13">
    <cfRule type="expression" dxfId="401" priority="45" stopIfTrue="1">
      <formula>ISERROR(E13)</formula>
    </cfRule>
  </conditionalFormatting>
  <conditionalFormatting sqref="E15">
    <cfRule type="expression" dxfId="400" priority="44" stopIfTrue="1">
      <formula>ISERROR(E15)</formula>
    </cfRule>
  </conditionalFormatting>
  <conditionalFormatting sqref="E16">
    <cfRule type="expression" dxfId="399" priority="43" stopIfTrue="1">
      <formula>ISERROR(E16)</formula>
    </cfRule>
  </conditionalFormatting>
  <conditionalFormatting sqref="E17">
    <cfRule type="expression" dxfId="398" priority="42" stopIfTrue="1">
      <formula>ISERROR(E17)</formula>
    </cfRule>
  </conditionalFormatting>
  <conditionalFormatting sqref="E18">
    <cfRule type="expression" dxfId="397" priority="41" stopIfTrue="1">
      <formula>ISERROR(E18)</formula>
    </cfRule>
  </conditionalFormatting>
  <conditionalFormatting sqref="E19">
    <cfRule type="expression" dxfId="396" priority="40" stopIfTrue="1">
      <formula>ISERROR(E19)</formula>
    </cfRule>
  </conditionalFormatting>
  <conditionalFormatting sqref="E20">
    <cfRule type="expression" dxfId="395" priority="38" stopIfTrue="1">
      <formula>ISERROR(E20)</formula>
    </cfRule>
  </conditionalFormatting>
  <conditionalFormatting sqref="E21">
    <cfRule type="expression" dxfId="394" priority="37" stopIfTrue="1">
      <formula>ISERROR(E21)</formula>
    </cfRule>
  </conditionalFormatting>
  <conditionalFormatting sqref="E23">
    <cfRule type="expression" dxfId="393" priority="36" stopIfTrue="1">
      <formula>ISERROR(E23)</formula>
    </cfRule>
  </conditionalFormatting>
  <conditionalFormatting sqref="E24">
    <cfRule type="expression" dxfId="392" priority="35" stopIfTrue="1">
      <formula>ISERROR(E24)</formula>
    </cfRule>
  </conditionalFormatting>
  <conditionalFormatting sqref="E25">
    <cfRule type="expression" dxfId="391" priority="34" stopIfTrue="1">
      <formula>ISERROR(E25)</formula>
    </cfRule>
  </conditionalFormatting>
  <conditionalFormatting sqref="E26">
    <cfRule type="expression" dxfId="390" priority="33" stopIfTrue="1">
      <formula>ISERROR(E26)</formula>
    </cfRule>
  </conditionalFormatting>
  <conditionalFormatting sqref="E27">
    <cfRule type="expression" dxfId="389" priority="32" stopIfTrue="1">
      <formula>ISERROR(E27)</formula>
    </cfRule>
  </conditionalFormatting>
  <conditionalFormatting sqref="E28">
    <cfRule type="expression" dxfId="388" priority="31" stopIfTrue="1">
      <formula>ISERROR(E28)</formula>
    </cfRule>
  </conditionalFormatting>
  <conditionalFormatting sqref="E29">
    <cfRule type="expression" dxfId="387" priority="30" stopIfTrue="1">
      <formula>ISERROR(E29)</formula>
    </cfRule>
  </conditionalFormatting>
  <conditionalFormatting sqref="E31">
    <cfRule type="expression" dxfId="386" priority="29" stopIfTrue="1">
      <formula>ISERROR(E31)</formula>
    </cfRule>
  </conditionalFormatting>
  <conditionalFormatting sqref="E32">
    <cfRule type="expression" dxfId="385" priority="28" stopIfTrue="1">
      <formula>ISERROR(E32)</formula>
    </cfRule>
  </conditionalFormatting>
  <conditionalFormatting sqref="E33">
    <cfRule type="expression" dxfId="384" priority="27" stopIfTrue="1">
      <formula>ISERROR(E33)</formula>
    </cfRule>
  </conditionalFormatting>
  <conditionalFormatting sqref="E34">
    <cfRule type="expression" dxfId="383" priority="24" stopIfTrue="1">
      <formula>ISERROR(E34)</formula>
    </cfRule>
  </conditionalFormatting>
  <conditionalFormatting sqref="E35">
    <cfRule type="expression" dxfId="382" priority="23" stopIfTrue="1">
      <formula>ISERROR(E35)</formula>
    </cfRule>
  </conditionalFormatting>
  <conditionalFormatting sqref="E37">
    <cfRule type="expression" dxfId="381" priority="22" stopIfTrue="1">
      <formula>ISERROR(E37)</formula>
    </cfRule>
  </conditionalFormatting>
  <conditionalFormatting sqref="E40">
    <cfRule type="expression" dxfId="380" priority="21" stopIfTrue="1">
      <formula>ISERROR(E40)</formula>
    </cfRule>
  </conditionalFormatting>
  <conditionalFormatting sqref="E41">
    <cfRule type="expression" dxfId="379" priority="20" stopIfTrue="1">
      <formula>ISERROR(E41)</formula>
    </cfRule>
  </conditionalFormatting>
  <conditionalFormatting sqref="E42">
    <cfRule type="expression" dxfId="378" priority="19" stopIfTrue="1">
      <formula>ISERROR(E42)</formula>
    </cfRule>
  </conditionalFormatting>
  <conditionalFormatting sqref="E43">
    <cfRule type="expression" dxfId="377" priority="18" stopIfTrue="1">
      <formula>ISERROR(E43)</formula>
    </cfRule>
  </conditionalFormatting>
  <conditionalFormatting sqref="E44">
    <cfRule type="expression" dxfId="376" priority="17" stopIfTrue="1">
      <formula>ISERROR(E44)</formula>
    </cfRule>
  </conditionalFormatting>
  <conditionalFormatting sqref="J8">
    <cfRule type="expression" dxfId="375" priority="16" stopIfTrue="1">
      <formula>ISERROR(J8)</formula>
    </cfRule>
  </conditionalFormatting>
  <conditionalFormatting sqref="J9">
    <cfRule type="expression" dxfId="374" priority="15" stopIfTrue="1">
      <formula>ISERROR(J9)</formula>
    </cfRule>
  </conditionalFormatting>
  <conditionalFormatting sqref="J10">
    <cfRule type="expression" dxfId="373" priority="14" stopIfTrue="1">
      <formula>ISERROR(J10)</formula>
    </cfRule>
  </conditionalFormatting>
  <conditionalFormatting sqref="J12">
    <cfRule type="expression" dxfId="372" priority="13" stopIfTrue="1">
      <formula>ISERROR(J12)</formula>
    </cfRule>
  </conditionalFormatting>
  <conditionalFormatting sqref="J13">
    <cfRule type="expression" dxfId="371" priority="12" stopIfTrue="1">
      <formula>ISERROR(J13)</formula>
    </cfRule>
  </conditionalFormatting>
  <conditionalFormatting sqref="J14">
    <cfRule type="expression" dxfId="370" priority="11" stopIfTrue="1">
      <formula>ISERROR(J14)</formula>
    </cfRule>
  </conditionalFormatting>
  <conditionalFormatting sqref="J15">
    <cfRule type="expression" dxfId="369" priority="10" stopIfTrue="1">
      <formula>ISERROR(J15)</formula>
    </cfRule>
  </conditionalFormatting>
  <conditionalFormatting sqref="J16">
    <cfRule type="expression" dxfId="368" priority="9" stopIfTrue="1">
      <formula>ISERROR(J16)</formula>
    </cfRule>
  </conditionalFormatting>
  <conditionalFormatting sqref="J17">
    <cfRule type="expression" dxfId="367" priority="8" stopIfTrue="1">
      <formula>ISERROR(J17)</formula>
    </cfRule>
  </conditionalFormatting>
  <conditionalFormatting sqref="J19">
    <cfRule type="expression" dxfId="366" priority="7" stopIfTrue="1">
      <formula>ISERROR(J19)</formula>
    </cfRule>
  </conditionalFormatting>
  <conditionalFormatting sqref="J20">
    <cfRule type="expression" dxfId="365" priority="6" stopIfTrue="1">
      <formula>ISERROR(J20)</formula>
    </cfRule>
  </conditionalFormatting>
  <conditionalFormatting sqref="J21">
    <cfRule type="expression" dxfId="364" priority="5" stopIfTrue="1">
      <formula>ISERROR(J21)</formula>
    </cfRule>
  </conditionalFormatting>
  <conditionalFormatting sqref="J23">
    <cfRule type="expression" dxfId="363" priority="4" stopIfTrue="1">
      <formula>ISERROR(J23)</formula>
    </cfRule>
  </conditionalFormatting>
  <conditionalFormatting sqref="J24">
    <cfRule type="expression" dxfId="362" priority="3" stopIfTrue="1">
      <formula>ISERROR(J24)</formula>
    </cfRule>
  </conditionalFormatting>
  <conditionalFormatting sqref="J25">
    <cfRule type="expression" dxfId="361" priority="2" stopIfTrue="1">
      <formula>ISERROR(J25)</formula>
    </cfRule>
  </conditionalFormatting>
  <conditionalFormatting sqref="J26">
    <cfRule type="expression" dxfId="360" priority="1" stopIfTrue="1">
      <formula>ISERROR(J26)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C11:D11 C14:D14 H18:I18 C22:D22 H22:I22 C30:D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42" t="str">
        <f>UPPER("INVENTORY BY REGIONAL OFFICE "&amp;Transformation!B4)</f>
        <v>INVENTORY BY REGIONAL OFFICE AS OF: DECEMBER 19, 2015</v>
      </c>
      <c r="D2" s="443"/>
      <c r="E2" s="443"/>
      <c r="F2" s="443"/>
      <c r="G2" s="443"/>
      <c r="H2" s="443"/>
      <c r="I2" s="443"/>
      <c r="J2" s="443"/>
      <c r="K2" s="443"/>
      <c r="L2" s="443"/>
      <c r="M2" s="443"/>
      <c r="N2" s="443"/>
      <c r="O2" s="443"/>
      <c r="P2" s="443"/>
      <c r="Q2" s="443"/>
      <c r="R2" s="443"/>
      <c r="S2" s="444"/>
      <c r="T2" s="25"/>
    </row>
    <row r="3" spans="1:20" x14ac:dyDescent="0.2">
      <c r="A3" s="25"/>
      <c r="B3" s="26"/>
      <c r="C3" s="445" t="s">
        <v>228</v>
      </c>
      <c r="D3" s="446"/>
      <c r="E3" s="447" t="s">
        <v>208</v>
      </c>
      <c r="F3" s="448"/>
      <c r="G3" s="449"/>
      <c r="H3" s="447" t="s">
        <v>7</v>
      </c>
      <c r="I3" s="448"/>
      <c r="J3" s="449"/>
      <c r="K3" s="447" t="s">
        <v>33</v>
      </c>
      <c r="L3" s="448"/>
      <c r="M3" s="449"/>
      <c r="N3" s="447" t="s">
        <v>8</v>
      </c>
      <c r="O3" s="448"/>
      <c r="P3" s="449"/>
      <c r="Q3" s="81" t="s">
        <v>9</v>
      </c>
      <c r="R3" s="82" t="s">
        <v>10</v>
      </c>
      <c r="S3" s="82" t="s">
        <v>11</v>
      </c>
      <c r="T3" s="25"/>
    </row>
    <row r="4" spans="1:20"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488</v>
      </c>
      <c r="T4" s="91"/>
    </row>
    <row r="5" spans="1:20" ht="26.25" x14ac:dyDescent="0.4">
      <c r="A5" s="25"/>
      <c r="B5" s="26"/>
      <c r="C5" s="442" t="s">
        <v>486</v>
      </c>
      <c r="D5" s="443"/>
      <c r="E5" s="443"/>
      <c r="F5" s="443"/>
      <c r="G5" s="443"/>
      <c r="H5" s="443"/>
      <c r="I5" s="443"/>
      <c r="J5" s="443"/>
      <c r="K5" s="443"/>
      <c r="L5" s="443"/>
      <c r="M5" s="443"/>
      <c r="N5" s="443"/>
      <c r="O5" s="443"/>
      <c r="P5" s="443"/>
      <c r="Q5" s="443"/>
      <c r="R5" s="443"/>
      <c r="S5" s="444"/>
      <c r="T5" s="25"/>
    </row>
    <row r="6" spans="1:20" x14ac:dyDescent="0.2">
      <c r="A6" s="92"/>
      <c r="B6" s="93" t="s">
        <v>461</v>
      </c>
      <c r="C6" s="209">
        <f>IFERROR(VLOOKUP($B6,MMWR_TRAD_AGG_DISTRICT_COMP[],C$1,0),"ERROR")</f>
        <v>325389</v>
      </c>
      <c r="D6" s="187">
        <f>IFERROR(VLOOKUP($B6,MMWR_TRAD_AGG_DISTRICT_COMP[],D$1,0),"ERROR")</f>
        <v>388.57879645589998</v>
      </c>
      <c r="E6" s="195">
        <f>IFERROR(VLOOKUP($B6,MMWR_TRAD_AGG_DISTRICT_COMP[],E$1,0),"ERROR")</f>
        <v>333869</v>
      </c>
      <c r="F6" s="189">
        <f>IFERROR(VLOOKUP($B6,MMWR_TRAD_AGG_DISTRICT_COMP[],F$1,0),"ERROR")</f>
        <v>72280</v>
      </c>
      <c r="G6" s="212">
        <f t="shared" ref="G6:G69" si="0">IFERROR(F6/E6,"0%")</f>
        <v>0.21649209719979992</v>
      </c>
      <c r="H6" s="188">
        <f>IFERROR(VLOOKUP($B6,MMWR_TRAD_AGG_DISTRICT_COMP[],H$1,0),"ERROR")</f>
        <v>473384</v>
      </c>
      <c r="I6" s="189">
        <f>IFERROR(VLOOKUP($B6,MMWR_TRAD_AGG_DISTRICT_COMP[],I$1,0),"ERROR")</f>
        <v>306817</v>
      </c>
      <c r="J6" s="212">
        <f t="shared" ref="J6:J69" si="1">IFERROR(I6/H6,"0%")</f>
        <v>0.64813555168742498</v>
      </c>
      <c r="K6" s="188">
        <f>IFERROR(VLOOKUP($B6,MMWR_TRAD_AGG_DISTRICT_COMP[],K$1,0),"ERROR")</f>
        <v>131921</v>
      </c>
      <c r="L6" s="189">
        <f>IFERROR(VLOOKUP($B6,MMWR_TRAD_AGG_DISTRICT_COMP[],L$1,0),"ERROR")</f>
        <v>85935</v>
      </c>
      <c r="M6" s="212">
        <f t="shared" ref="M6:M69" si="2">IFERROR(L6/K6,"0%")</f>
        <v>0.65141258783665978</v>
      </c>
      <c r="N6" s="188">
        <f>IFERROR(VLOOKUP($B6,MMWR_TRAD_AGG_DISTRICT_COMP[],N$1,0),"ERROR")</f>
        <v>153557</v>
      </c>
      <c r="O6" s="189">
        <f>IFERROR(VLOOKUP($B6,MMWR_TRAD_AGG_DISTRICT_COMP[],O$1,0),"ERROR")</f>
        <v>98418</v>
      </c>
      <c r="P6" s="212">
        <f t="shared" ref="P6:P69" si="3">IFERROR(O6/N6,"0%")</f>
        <v>0.64092161217007371</v>
      </c>
      <c r="Q6" s="201">
        <f>IFERROR(VLOOKUP($B6,MMWR_TRAD_AGG_DISTRICT_COMP[],Q$1,0),"ERROR")</f>
        <v>18862</v>
      </c>
      <c r="R6" s="201">
        <f>IFERROR(VLOOKUP($B6,MMWR_TRAD_AGG_DISTRICT_COMP[],R$1,0),"ERROR")</f>
        <v>4002</v>
      </c>
      <c r="S6" s="204">
        <f>S7+S25+S38+S49+S62+S70</f>
        <v>317773</v>
      </c>
      <c r="T6" s="25"/>
    </row>
    <row r="7" spans="1:20" x14ac:dyDescent="0.2">
      <c r="A7" s="92"/>
      <c r="B7" s="101" t="s">
        <v>369</v>
      </c>
      <c r="C7" s="213">
        <f>IFERROR(VLOOKUP($B7,MMWR_TRAD_AGG_DISTRICT_COMP[],C$1,0),"ERROR")</f>
        <v>105110</v>
      </c>
      <c r="D7" s="198">
        <f>IFERROR(VLOOKUP($B7,MMWR_TRAD_AGG_DISTRICT_COMP[],D$1,0),"ERROR")</f>
        <v>470.12215773949998</v>
      </c>
      <c r="E7" s="214">
        <f>IFERROR(VLOOKUP($B7,MMWR_TRAD_AGG_DISTRICT_COMP[],E$1,0),"ERROR")</f>
        <v>79175</v>
      </c>
      <c r="F7" s="213">
        <f>IFERROR(VLOOKUP($B7,MMWR_TRAD_AGG_DISTRICT_COMP[],F$1,0),"ERROR")</f>
        <v>18063</v>
      </c>
      <c r="G7" s="215">
        <f t="shared" si="0"/>
        <v>0.22814019576886643</v>
      </c>
      <c r="H7" s="213">
        <f>IFERROR(VLOOKUP($B7,MMWR_TRAD_AGG_DISTRICT_COMP[],H$1,0),"ERROR")</f>
        <v>138246</v>
      </c>
      <c r="I7" s="213">
        <f>IFERROR(VLOOKUP($B7,MMWR_TRAD_AGG_DISTRICT_COMP[],I$1,0),"ERROR")</f>
        <v>100972</v>
      </c>
      <c r="J7" s="215">
        <f t="shared" si="1"/>
        <v>0.73037917914442374</v>
      </c>
      <c r="K7" s="213">
        <f>IFERROR(VLOOKUP($B7,MMWR_TRAD_AGG_DISTRICT_COMP[],K$1,0),"ERROR")</f>
        <v>38722</v>
      </c>
      <c r="L7" s="213">
        <f>IFERROR(VLOOKUP($B7,MMWR_TRAD_AGG_DISTRICT_COMP[],L$1,0),"ERROR")</f>
        <v>25958</v>
      </c>
      <c r="M7" s="215">
        <f t="shared" si="2"/>
        <v>0.67036826610195754</v>
      </c>
      <c r="N7" s="213">
        <f>IFERROR(VLOOKUP($B7,MMWR_TRAD_AGG_DISTRICT_COMP[],N$1,0),"ERROR")</f>
        <v>30586</v>
      </c>
      <c r="O7" s="213">
        <f>IFERROR(VLOOKUP($B7,MMWR_TRAD_AGG_DISTRICT_COMP[],O$1,0),"ERROR")</f>
        <v>25152</v>
      </c>
      <c r="P7" s="215">
        <f t="shared" si="3"/>
        <v>0.82233701693585304</v>
      </c>
      <c r="Q7" s="213">
        <f>IFERROR(VLOOKUP($B7,MMWR_TRAD_AGG_DISTRICT_COMP[],Q$1,0),"ERROR")</f>
        <v>12620</v>
      </c>
      <c r="R7" s="216">
        <f>IFERROR(VLOOKUP($B7,MMWR_TRAD_AGG_DISTRICT_COMP[],R$1,0),"ERROR")</f>
        <v>51</v>
      </c>
      <c r="S7" s="216">
        <f>IFERROR(VLOOKUP($B7,MMWR_APP_RO[],S$1,0),"ERROR")</f>
        <v>56423</v>
      </c>
      <c r="T7" s="25"/>
    </row>
    <row r="8" spans="1:20" x14ac:dyDescent="0.2">
      <c r="A8" s="107"/>
      <c r="B8" s="108" t="s">
        <v>36</v>
      </c>
      <c r="C8" s="210">
        <f>IFERROR(VLOOKUP($B8,MMWR_TRAD_AGG_RO_COMP[],C$1,0),"ERROR")</f>
        <v>8005</v>
      </c>
      <c r="D8" s="199">
        <f>IFERROR(VLOOKUP($B8,MMWR_TRAD_AGG_RO_COMP[],D$1,0),"ERROR")</f>
        <v>717.97114303559999</v>
      </c>
      <c r="E8" s="196">
        <f>IFERROR(VLOOKUP($B8,MMWR_TRAD_AGG_RO_COMP[],E$1,0),"ERROR")</f>
        <v>4874</v>
      </c>
      <c r="F8" s="192">
        <f>IFERROR(VLOOKUP($B8,MMWR_TRAD_AGG_RO_COMP[],F$1,0),"ERROR")</f>
        <v>995</v>
      </c>
      <c r="G8" s="217">
        <f t="shared" si="0"/>
        <v>0.20414443988510464</v>
      </c>
      <c r="H8" s="191">
        <f>IFERROR(VLOOKUP($B8,MMWR_TRAD_AGG_RO_COMP[],H$1,0),"ERROR")</f>
        <v>9352</v>
      </c>
      <c r="I8" s="192">
        <f>IFERROR(VLOOKUP($B8,MMWR_TRAD_AGG_RO_COMP[],I$1,0),"ERROR")</f>
        <v>7685</v>
      </c>
      <c r="J8" s="217">
        <f t="shared" si="1"/>
        <v>0.82174935842600516</v>
      </c>
      <c r="K8" s="205">
        <f>IFERROR(VLOOKUP($B8,MMWR_TRAD_AGG_RO_COMP[],K$1,0),"ERROR")</f>
        <v>1459</v>
      </c>
      <c r="L8" s="206">
        <f>IFERROR(VLOOKUP($B8,MMWR_TRAD_AGG_RO_COMP[],L$1,0),"ERROR")</f>
        <v>1086</v>
      </c>
      <c r="M8" s="217">
        <f t="shared" si="2"/>
        <v>0.74434544208361897</v>
      </c>
      <c r="N8" s="205">
        <f>IFERROR(VLOOKUP($B8,MMWR_TRAD_AGG_RO_COMP[],N$1,0),"ERROR")</f>
        <v>5982</v>
      </c>
      <c r="O8" s="206">
        <f>IFERROR(VLOOKUP($B8,MMWR_TRAD_AGG_RO_COMP[],O$1,0),"ERROR")</f>
        <v>5151</v>
      </c>
      <c r="P8" s="217">
        <f t="shared" si="3"/>
        <v>0.86108324974924777</v>
      </c>
      <c r="Q8" s="202">
        <f>IFERROR(VLOOKUP($B8,MMWR_TRAD_AGG_RO_COMP[],Q$1,0),"ERROR")</f>
        <v>0</v>
      </c>
      <c r="R8" s="202">
        <f>IFERROR(VLOOKUP($B8,MMWR_TRAD_AGG_RO_COMP[],R$1,0),"ERROR")</f>
        <v>3</v>
      </c>
      <c r="S8" s="202">
        <f>IFERROR(VLOOKUP($B8,MMWR_APP_RO[],S$1,0),"ERROR")</f>
        <v>5703</v>
      </c>
      <c r="T8" s="25"/>
    </row>
    <row r="9" spans="1:20" x14ac:dyDescent="0.2">
      <c r="A9" s="107"/>
      <c r="B9" s="108" t="s">
        <v>38</v>
      </c>
      <c r="C9" s="210">
        <f>IFERROR(VLOOKUP($B9,MMWR_TRAD_AGG_RO_COMP[],C$1,0),"ERROR")</f>
        <v>4268</v>
      </c>
      <c r="D9" s="199">
        <f>IFERROR(VLOOKUP($B9,MMWR_TRAD_AGG_RO_COMP[],D$1,0),"ERROR")</f>
        <v>593.95454545450002</v>
      </c>
      <c r="E9" s="196">
        <f>IFERROR(VLOOKUP($B9,MMWR_TRAD_AGG_RO_COMP[],E$1,0),"ERROR")</f>
        <v>3385</v>
      </c>
      <c r="F9" s="192">
        <f>IFERROR(VLOOKUP($B9,MMWR_TRAD_AGG_RO_COMP[],F$1,0),"ERROR")</f>
        <v>896</v>
      </c>
      <c r="G9" s="217">
        <f t="shared" si="0"/>
        <v>0.26469719350073856</v>
      </c>
      <c r="H9" s="191">
        <f>IFERROR(VLOOKUP($B9,MMWR_TRAD_AGG_RO_COMP[],H$1,0),"ERROR")</f>
        <v>5611</v>
      </c>
      <c r="I9" s="192">
        <f>IFERROR(VLOOKUP($B9,MMWR_TRAD_AGG_RO_COMP[],I$1,0),"ERROR")</f>
        <v>4417</v>
      </c>
      <c r="J9" s="217">
        <f t="shared" si="1"/>
        <v>0.78720370700409914</v>
      </c>
      <c r="K9" s="205">
        <f>IFERROR(VLOOKUP($B9,MMWR_TRAD_AGG_RO_COMP[],K$1,0),"ERROR")</f>
        <v>2592</v>
      </c>
      <c r="L9" s="206">
        <f>IFERROR(VLOOKUP($B9,MMWR_TRAD_AGG_RO_COMP[],L$1,0),"ERROR")</f>
        <v>2113</v>
      </c>
      <c r="M9" s="217">
        <f t="shared" si="2"/>
        <v>0.81520061728395066</v>
      </c>
      <c r="N9" s="205">
        <f>IFERROR(VLOOKUP($B9,MMWR_TRAD_AGG_RO_COMP[],N$1,0),"ERROR")</f>
        <v>857</v>
      </c>
      <c r="O9" s="206">
        <f>IFERROR(VLOOKUP($B9,MMWR_TRAD_AGG_RO_COMP[],O$1,0),"ERROR")</f>
        <v>755</v>
      </c>
      <c r="P9" s="217">
        <f t="shared" si="3"/>
        <v>0.88098016336056006</v>
      </c>
      <c r="Q9" s="202">
        <f>IFERROR(VLOOKUP($B9,MMWR_TRAD_AGG_RO_COMP[],Q$1,0),"ERROR")</f>
        <v>0</v>
      </c>
      <c r="R9" s="202">
        <f>IFERROR(VLOOKUP($B9,MMWR_TRAD_AGG_RO_COMP[],R$1,0),"ERROR")</f>
        <v>2</v>
      </c>
      <c r="S9" s="202">
        <f>IFERROR(VLOOKUP($B9,MMWR_APP_RO[],S$1,0),"ERROR")</f>
        <v>3281</v>
      </c>
      <c r="T9" s="25"/>
    </row>
    <row r="10" spans="1:20" x14ac:dyDescent="0.2">
      <c r="A10" s="107"/>
      <c r="B10" s="108" t="s">
        <v>24</v>
      </c>
      <c r="C10" s="210">
        <f>IFERROR(VLOOKUP($B10,MMWR_TRAD_AGG_RO_COMP[],C$1,0),"ERROR")</f>
        <v>1573</v>
      </c>
      <c r="D10" s="199">
        <f>IFERROR(VLOOKUP($B10,MMWR_TRAD_AGG_RO_COMP[],D$1,0),"ERROR")</f>
        <v>169.6052129688</v>
      </c>
      <c r="E10" s="196">
        <f>IFERROR(VLOOKUP($B10,MMWR_TRAD_AGG_RO_COMP[],E$1,0),"ERROR")</f>
        <v>3863</v>
      </c>
      <c r="F10" s="192">
        <f>IFERROR(VLOOKUP($B10,MMWR_TRAD_AGG_RO_COMP[],F$1,0),"ERROR")</f>
        <v>767</v>
      </c>
      <c r="G10" s="217">
        <f t="shared" si="0"/>
        <v>0.19855034946932437</v>
      </c>
      <c r="H10" s="191">
        <f>IFERROR(VLOOKUP($B10,MMWR_TRAD_AGG_RO_COMP[],H$1,0),"ERROR")</f>
        <v>2585</v>
      </c>
      <c r="I10" s="192">
        <f>IFERROR(VLOOKUP($B10,MMWR_TRAD_AGG_RO_COMP[],I$1,0),"ERROR")</f>
        <v>1087</v>
      </c>
      <c r="J10" s="217">
        <f t="shared" si="1"/>
        <v>0.42050290135396517</v>
      </c>
      <c r="K10" s="205">
        <f>IFERROR(VLOOKUP($B10,MMWR_TRAD_AGG_RO_COMP[],K$1,0),"ERROR")</f>
        <v>1011</v>
      </c>
      <c r="L10" s="206">
        <f>IFERROR(VLOOKUP($B10,MMWR_TRAD_AGG_RO_COMP[],L$1,0),"ERROR")</f>
        <v>458</v>
      </c>
      <c r="M10" s="217">
        <f t="shared" si="2"/>
        <v>0.45301681503461921</v>
      </c>
      <c r="N10" s="205">
        <f>IFERROR(VLOOKUP($B10,MMWR_TRAD_AGG_RO_COMP[],N$1,0),"ERROR")</f>
        <v>415</v>
      </c>
      <c r="O10" s="206">
        <f>IFERROR(VLOOKUP($B10,MMWR_TRAD_AGG_RO_COMP[],O$1,0),"ERROR")</f>
        <v>252</v>
      </c>
      <c r="P10" s="217">
        <f t="shared" si="3"/>
        <v>0.60722891566265058</v>
      </c>
      <c r="Q10" s="202">
        <f>IFERROR(VLOOKUP($B10,MMWR_TRAD_AGG_RO_COMP[],Q$1,0),"ERROR")</f>
        <v>0</v>
      </c>
      <c r="R10" s="202">
        <f>IFERROR(VLOOKUP($B10,MMWR_TRAD_AGG_RO_COMP[],R$1,0),"ERROR")</f>
        <v>0</v>
      </c>
      <c r="S10" s="202">
        <f>IFERROR(VLOOKUP($B10,MMWR_APP_RO[],S$1,0),"ERROR")</f>
        <v>1863</v>
      </c>
      <c r="T10" s="25"/>
    </row>
    <row r="11" spans="1:20" x14ac:dyDescent="0.2">
      <c r="A11" s="107"/>
      <c r="B11" s="108" t="s">
        <v>47</v>
      </c>
      <c r="C11" s="210">
        <f>IFERROR(VLOOKUP($B11,MMWR_TRAD_AGG_RO_COMP[],C$1,0),"ERROR")</f>
        <v>1364</v>
      </c>
      <c r="D11" s="199">
        <f>IFERROR(VLOOKUP($B11,MMWR_TRAD_AGG_RO_COMP[],D$1,0),"ERROR")</f>
        <v>293.41568914959998</v>
      </c>
      <c r="E11" s="196">
        <f>IFERROR(VLOOKUP($B11,MMWR_TRAD_AGG_RO_COMP[],E$1,0),"ERROR")</f>
        <v>1848</v>
      </c>
      <c r="F11" s="192">
        <f>IFERROR(VLOOKUP($B11,MMWR_TRAD_AGG_RO_COMP[],F$1,0),"ERROR")</f>
        <v>339</v>
      </c>
      <c r="G11" s="217">
        <f t="shared" si="0"/>
        <v>0.18344155844155843</v>
      </c>
      <c r="H11" s="191">
        <f>IFERROR(VLOOKUP($B11,MMWR_TRAD_AGG_RO_COMP[],H$1,0),"ERROR")</f>
        <v>2995</v>
      </c>
      <c r="I11" s="192">
        <f>IFERROR(VLOOKUP($B11,MMWR_TRAD_AGG_RO_COMP[],I$1,0),"ERROR")</f>
        <v>1930</v>
      </c>
      <c r="J11" s="217">
        <f t="shared" si="1"/>
        <v>0.64440734557595991</v>
      </c>
      <c r="K11" s="205">
        <f>IFERROR(VLOOKUP($B11,MMWR_TRAD_AGG_RO_COMP[],K$1,0),"ERROR")</f>
        <v>604</v>
      </c>
      <c r="L11" s="206">
        <f>IFERROR(VLOOKUP($B11,MMWR_TRAD_AGG_RO_COMP[],L$1,0),"ERROR")</f>
        <v>297</v>
      </c>
      <c r="M11" s="217">
        <f t="shared" si="2"/>
        <v>0.49172185430463577</v>
      </c>
      <c r="N11" s="205">
        <f>IFERROR(VLOOKUP($B11,MMWR_TRAD_AGG_RO_COMP[],N$1,0),"ERROR")</f>
        <v>802</v>
      </c>
      <c r="O11" s="206">
        <f>IFERROR(VLOOKUP($B11,MMWR_TRAD_AGG_RO_COMP[],O$1,0),"ERROR")</f>
        <v>612</v>
      </c>
      <c r="P11" s="217">
        <f t="shared" si="3"/>
        <v>0.76309226932668328</v>
      </c>
      <c r="Q11" s="202">
        <f>IFERROR(VLOOKUP($B11,MMWR_TRAD_AGG_RO_COMP[],Q$1,0),"ERROR")</f>
        <v>0</v>
      </c>
      <c r="R11" s="202">
        <f>IFERROR(VLOOKUP($B11,MMWR_TRAD_AGG_RO_COMP[],R$1,0),"ERROR")</f>
        <v>5</v>
      </c>
      <c r="S11" s="202">
        <f>IFERROR(VLOOKUP($B11,MMWR_APP_RO[],S$1,0),"ERROR")</f>
        <v>921</v>
      </c>
      <c r="T11" s="25"/>
    </row>
    <row r="12" spans="1:20" x14ac:dyDescent="0.2">
      <c r="A12" s="107"/>
      <c r="B12" s="108" t="s">
        <v>50</v>
      </c>
      <c r="C12" s="210">
        <f>IFERROR(VLOOKUP($B12,MMWR_TRAD_AGG_RO_COMP[],C$1,0),"ERROR")</f>
        <v>2183</v>
      </c>
      <c r="D12" s="199">
        <f>IFERROR(VLOOKUP($B12,MMWR_TRAD_AGG_RO_COMP[],D$1,0),"ERROR")</f>
        <v>240.26981218509999</v>
      </c>
      <c r="E12" s="196">
        <f>IFERROR(VLOOKUP($B12,MMWR_TRAD_AGG_RO_COMP[],E$1,0),"ERROR")</f>
        <v>2330</v>
      </c>
      <c r="F12" s="192">
        <f>IFERROR(VLOOKUP($B12,MMWR_TRAD_AGG_RO_COMP[],F$1,0),"ERROR")</f>
        <v>339</v>
      </c>
      <c r="G12" s="217">
        <f t="shared" si="0"/>
        <v>0.14549356223175966</v>
      </c>
      <c r="H12" s="191">
        <f>IFERROR(VLOOKUP($B12,MMWR_TRAD_AGG_RO_COMP[],H$1,0),"ERROR")</f>
        <v>3388</v>
      </c>
      <c r="I12" s="192">
        <f>IFERROR(VLOOKUP($B12,MMWR_TRAD_AGG_RO_COMP[],I$1,0),"ERROR")</f>
        <v>2143</v>
      </c>
      <c r="J12" s="217">
        <f t="shared" si="1"/>
        <v>0.63252656434474619</v>
      </c>
      <c r="K12" s="205">
        <f>IFERROR(VLOOKUP($B12,MMWR_TRAD_AGG_RO_COMP[],K$1,0),"ERROR")</f>
        <v>485</v>
      </c>
      <c r="L12" s="206">
        <f>IFERROR(VLOOKUP($B12,MMWR_TRAD_AGG_RO_COMP[],L$1,0),"ERROR")</f>
        <v>119</v>
      </c>
      <c r="M12" s="217">
        <f t="shared" si="2"/>
        <v>0.24536082474226803</v>
      </c>
      <c r="N12" s="205">
        <f>IFERROR(VLOOKUP($B12,MMWR_TRAD_AGG_RO_COMP[],N$1,0),"ERROR")</f>
        <v>1063</v>
      </c>
      <c r="O12" s="206">
        <f>IFERROR(VLOOKUP($B12,MMWR_TRAD_AGG_RO_COMP[],O$1,0),"ERROR")</f>
        <v>817</v>
      </c>
      <c r="P12" s="217">
        <f t="shared" si="3"/>
        <v>0.76857949200376297</v>
      </c>
      <c r="Q12" s="202">
        <f>IFERROR(VLOOKUP($B12,MMWR_TRAD_AGG_RO_COMP[],Q$1,0),"ERROR")</f>
        <v>1</v>
      </c>
      <c r="R12" s="202">
        <f>IFERROR(VLOOKUP($B12,MMWR_TRAD_AGG_RO_COMP[],R$1,0),"ERROR")</f>
        <v>11</v>
      </c>
      <c r="S12" s="202">
        <f>IFERROR(VLOOKUP($B12,MMWR_APP_RO[],S$1,0),"ERROR")</f>
        <v>1957</v>
      </c>
      <c r="T12" s="25"/>
    </row>
    <row r="13" spans="1:20" x14ac:dyDescent="0.2">
      <c r="A13" s="107"/>
      <c r="B13" s="108" t="s">
        <v>57</v>
      </c>
      <c r="C13" s="210">
        <f>IFERROR(VLOOKUP($B13,MMWR_TRAD_AGG_RO_COMP[],C$1,0),"ERROR")</f>
        <v>1538</v>
      </c>
      <c r="D13" s="199">
        <f>IFERROR(VLOOKUP($B13,MMWR_TRAD_AGG_RO_COMP[],D$1,0),"ERROR")</f>
        <v>402.48894668399998</v>
      </c>
      <c r="E13" s="196">
        <f>IFERROR(VLOOKUP($B13,MMWR_TRAD_AGG_RO_COMP[],E$1,0),"ERROR")</f>
        <v>1072</v>
      </c>
      <c r="F13" s="192">
        <f>IFERROR(VLOOKUP($B13,MMWR_TRAD_AGG_RO_COMP[],F$1,0),"ERROR")</f>
        <v>226</v>
      </c>
      <c r="G13" s="217">
        <f t="shared" si="0"/>
        <v>0.21082089552238806</v>
      </c>
      <c r="H13" s="191">
        <f>IFERROR(VLOOKUP($B13,MMWR_TRAD_AGG_RO_COMP[],H$1,0),"ERROR")</f>
        <v>1986</v>
      </c>
      <c r="I13" s="192">
        <f>IFERROR(VLOOKUP($B13,MMWR_TRAD_AGG_RO_COMP[],I$1,0),"ERROR")</f>
        <v>1366</v>
      </c>
      <c r="J13" s="217">
        <f t="shared" si="1"/>
        <v>0.68781470292044311</v>
      </c>
      <c r="K13" s="205">
        <f>IFERROR(VLOOKUP($B13,MMWR_TRAD_AGG_RO_COMP[],K$1,0),"ERROR")</f>
        <v>403</v>
      </c>
      <c r="L13" s="206">
        <f>IFERROR(VLOOKUP($B13,MMWR_TRAD_AGG_RO_COMP[],L$1,0),"ERROR")</f>
        <v>399</v>
      </c>
      <c r="M13" s="217">
        <f t="shared" si="2"/>
        <v>0.99007444168734493</v>
      </c>
      <c r="N13" s="205">
        <f>IFERROR(VLOOKUP($B13,MMWR_TRAD_AGG_RO_COMP[],N$1,0),"ERROR")</f>
        <v>67</v>
      </c>
      <c r="O13" s="206">
        <f>IFERROR(VLOOKUP($B13,MMWR_TRAD_AGG_RO_COMP[],O$1,0),"ERROR")</f>
        <v>54</v>
      </c>
      <c r="P13" s="217">
        <f t="shared" si="3"/>
        <v>0.80597014925373134</v>
      </c>
      <c r="Q13" s="202">
        <f>IFERROR(VLOOKUP($B13,MMWR_TRAD_AGG_RO_COMP[],Q$1,0),"ERROR")</f>
        <v>0</v>
      </c>
      <c r="R13" s="202">
        <f>IFERROR(VLOOKUP($B13,MMWR_TRAD_AGG_RO_COMP[],R$1,0),"ERROR")</f>
        <v>0</v>
      </c>
      <c r="S13" s="202">
        <f>IFERROR(VLOOKUP($B13,MMWR_APP_RO[],S$1,0),"ERROR")</f>
        <v>613</v>
      </c>
      <c r="T13" s="25"/>
    </row>
    <row r="14" spans="1:20" x14ac:dyDescent="0.2">
      <c r="A14" s="107"/>
      <c r="B14" s="108" t="s">
        <v>63</v>
      </c>
      <c r="C14" s="210">
        <f>IFERROR(VLOOKUP($B14,MMWR_TRAD_AGG_RO_COMP[],C$1,0),"ERROR")</f>
        <v>4464</v>
      </c>
      <c r="D14" s="199">
        <f>IFERROR(VLOOKUP($B14,MMWR_TRAD_AGG_RO_COMP[],D$1,0),"ERROR")</f>
        <v>305.13754480289998</v>
      </c>
      <c r="E14" s="196">
        <f>IFERROR(VLOOKUP($B14,MMWR_TRAD_AGG_RO_COMP[],E$1,0),"ERROR")</f>
        <v>4656</v>
      </c>
      <c r="F14" s="192">
        <f>IFERROR(VLOOKUP($B14,MMWR_TRAD_AGG_RO_COMP[],F$1,0),"ERROR")</f>
        <v>1110</v>
      </c>
      <c r="G14" s="217">
        <f t="shared" si="0"/>
        <v>0.23840206185567012</v>
      </c>
      <c r="H14" s="191">
        <f>IFERROR(VLOOKUP($B14,MMWR_TRAD_AGG_RO_COMP[],H$1,0),"ERROR")</f>
        <v>6043</v>
      </c>
      <c r="I14" s="192">
        <f>IFERROR(VLOOKUP($B14,MMWR_TRAD_AGG_RO_COMP[],I$1,0),"ERROR")</f>
        <v>4145</v>
      </c>
      <c r="J14" s="217">
        <f t="shared" si="1"/>
        <v>0.68591759060069502</v>
      </c>
      <c r="K14" s="205">
        <f>IFERROR(VLOOKUP($B14,MMWR_TRAD_AGG_RO_COMP[],K$1,0),"ERROR")</f>
        <v>3740</v>
      </c>
      <c r="L14" s="206">
        <f>IFERROR(VLOOKUP($B14,MMWR_TRAD_AGG_RO_COMP[],L$1,0),"ERROR")</f>
        <v>3102</v>
      </c>
      <c r="M14" s="217">
        <f t="shared" si="2"/>
        <v>0.8294117647058824</v>
      </c>
      <c r="N14" s="205">
        <f>IFERROR(VLOOKUP($B14,MMWR_TRAD_AGG_RO_COMP[],N$1,0),"ERROR")</f>
        <v>807</v>
      </c>
      <c r="O14" s="206">
        <f>IFERROR(VLOOKUP($B14,MMWR_TRAD_AGG_RO_COMP[],O$1,0),"ERROR")</f>
        <v>197</v>
      </c>
      <c r="P14" s="217">
        <f t="shared" si="3"/>
        <v>0.24411400247831475</v>
      </c>
      <c r="Q14" s="202">
        <f>IFERROR(VLOOKUP($B14,MMWR_TRAD_AGG_RO_COMP[],Q$1,0),"ERROR")</f>
        <v>0</v>
      </c>
      <c r="R14" s="202">
        <f>IFERROR(VLOOKUP($B14,MMWR_TRAD_AGG_RO_COMP[],R$1,0),"ERROR")</f>
        <v>1</v>
      </c>
      <c r="S14" s="202">
        <f>IFERROR(VLOOKUP($B14,MMWR_APP_RO[],S$1,0),"ERROR")</f>
        <v>3197</v>
      </c>
      <c r="T14" s="25"/>
    </row>
    <row r="15" spans="1:20" x14ac:dyDescent="0.2">
      <c r="A15" s="107"/>
      <c r="B15" s="108" t="s">
        <v>64</v>
      </c>
      <c r="C15" s="210">
        <f>IFERROR(VLOOKUP($B15,MMWR_TRAD_AGG_RO_COMP[],C$1,0),"ERROR")</f>
        <v>847</v>
      </c>
      <c r="D15" s="199">
        <f>IFERROR(VLOOKUP($B15,MMWR_TRAD_AGG_RO_COMP[],D$1,0),"ERROR")</f>
        <v>128.38252656430001</v>
      </c>
      <c r="E15" s="196">
        <f>IFERROR(VLOOKUP($B15,MMWR_TRAD_AGG_RO_COMP[],E$1,0),"ERROR")</f>
        <v>2490</v>
      </c>
      <c r="F15" s="192">
        <f>IFERROR(VLOOKUP($B15,MMWR_TRAD_AGG_RO_COMP[],F$1,0),"ERROR")</f>
        <v>463</v>
      </c>
      <c r="G15" s="217">
        <f t="shared" si="0"/>
        <v>0.18594377510040161</v>
      </c>
      <c r="H15" s="191">
        <f>IFERROR(VLOOKUP($B15,MMWR_TRAD_AGG_RO_COMP[],H$1,0),"ERROR")</f>
        <v>1508</v>
      </c>
      <c r="I15" s="192">
        <f>IFERROR(VLOOKUP($B15,MMWR_TRAD_AGG_RO_COMP[],I$1,0),"ERROR")</f>
        <v>427</v>
      </c>
      <c r="J15" s="217">
        <f t="shared" si="1"/>
        <v>0.28315649867374004</v>
      </c>
      <c r="K15" s="205">
        <f>IFERROR(VLOOKUP($B15,MMWR_TRAD_AGG_RO_COMP[],K$1,0),"ERROR")</f>
        <v>763</v>
      </c>
      <c r="L15" s="206">
        <f>IFERROR(VLOOKUP($B15,MMWR_TRAD_AGG_RO_COMP[],L$1,0),"ERROR")</f>
        <v>553</v>
      </c>
      <c r="M15" s="217">
        <f t="shared" si="2"/>
        <v>0.72477064220183485</v>
      </c>
      <c r="N15" s="205">
        <f>IFERROR(VLOOKUP($B15,MMWR_TRAD_AGG_RO_COMP[],N$1,0),"ERROR")</f>
        <v>2014</v>
      </c>
      <c r="O15" s="206">
        <f>IFERROR(VLOOKUP($B15,MMWR_TRAD_AGG_RO_COMP[],O$1,0),"ERROR")</f>
        <v>1548</v>
      </c>
      <c r="P15" s="217">
        <f t="shared" si="3"/>
        <v>0.7686196623634558</v>
      </c>
      <c r="Q15" s="202">
        <f>IFERROR(VLOOKUP($B15,MMWR_TRAD_AGG_RO_COMP[],Q$1,0),"ERROR")</f>
        <v>0</v>
      </c>
      <c r="R15" s="202">
        <f>IFERROR(VLOOKUP($B15,MMWR_TRAD_AGG_RO_COMP[],R$1,0),"ERROR")</f>
        <v>1</v>
      </c>
      <c r="S15" s="202">
        <f>IFERROR(VLOOKUP($B15,MMWR_APP_RO[],S$1,0),"ERROR")</f>
        <v>2649</v>
      </c>
      <c r="T15" s="25"/>
    </row>
    <row r="16" spans="1:20" x14ac:dyDescent="0.2">
      <c r="A16" s="107"/>
      <c r="B16" s="108" t="s">
        <v>66</v>
      </c>
      <c r="C16" s="210">
        <f>IFERROR(VLOOKUP($B16,MMWR_TRAD_AGG_RO_COMP[],C$1,0),"ERROR")</f>
        <v>6120</v>
      </c>
      <c r="D16" s="199">
        <f>IFERROR(VLOOKUP($B16,MMWR_TRAD_AGG_RO_COMP[],D$1,0),"ERROR")</f>
        <v>385.46274509800003</v>
      </c>
      <c r="E16" s="196">
        <f>IFERROR(VLOOKUP($B16,MMWR_TRAD_AGG_RO_COMP[],E$1,0),"ERROR")</f>
        <v>11598</v>
      </c>
      <c r="F16" s="192">
        <f>IFERROR(VLOOKUP($B16,MMWR_TRAD_AGG_RO_COMP[],F$1,0),"ERROR")</f>
        <v>2841</v>
      </c>
      <c r="G16" s="217">
        <f t="shared" si="0"/>
        <v>0.24495602690118987</v>
      </c>
      <c r="H16" s="191">
        <f>IFERROR(VLOOKUP($B16,MMWR_TRAD_AGG_RO_COMP[],H$1,0),"ERROR")</f>
        <v>9321</v>
      </c>
      <c r="I16" s="192">
        <f>IFERROR(VLOOKUP($B16,MMWR_TRAD_AGG_RO_COMP[],I$1,0),"ERROR")</f>
        <v>6584</v>
      </c>
      <c r="J16" s="217">
        <f t="shared" si="1"/>
        <v>0.70636197832850556</v>
      </c>
      <c r="K16" s="205">
        <f>IFERROR(VLOOKUP($B16,MMWR_TRAD_AGG_RO_COMP[],K$1,0),"ERROR")</f>
        <v>2505</v>
      </c>
      <c r="L16" s="206">
        <f>IFERROR(VLOOKUP($B16,MMWR_TRAD_AGG_RO_COMP[],L$1,0),"ERROR")</f>
        <v>947</v>
      </c>
      <c r="M16" s="217">
        <f t="shared" si="2"/>
        <v>0.3780439121756487</v>
      </c>
      <c r="N16" s="205">
        <f>IFERROR(VLOOKUP($B16,MMWR_TRAD_AGG_RO_COMP[],N$1,0),"ERROR")</f>
        <v>7218</v>
      </c>
      <c r="O16" s="206">
        <f>IFERROR(VLOOKUP($B16,MMWR_TRAD_AGG_RO_COMP[],O$1,0),"ERROR")</f>
        <v>6418</v>
      </c>
      <c r="P16" s="217">
        <f t="shared" si="3"/>
        <v>0.88916597395400387</v>
      </c>
      <c r="Q16" s="202">
        <f>IFERROR(VLOOKUP($B16,MMWR_TRAD_AGG_RO_COMP[],Q$1,0),"ERROR")</f>
        <v>12610</v>
      </c>
      <c r="R16" s="202">
        <f>IFERROR(VLOOKUP($B16,MMWR_TRAD_AGG_RO_COMP[],R$1,0),"ERROR")</f>
        <v>0</v>
      </c>
      <c r="S16" s="202">
        <f>IFERROR(VLOOKUP($B16,MMWR_APP_RO[],S$1,0),"ERROR")</f>
        <v>5501</v>
      </c>
      <c r="T16" s="25"/>
    </row>
    <row r="17" spans="1:20" x14ac:dyDescent="0.2">
      <c r="A17" s="107"/>
      <c r="B17" s="108" t="s">
        <v>68</v>
      </c>
      <c r="C17" s="210">
        <f>IFERROR(VLOOKUP($B17,MMWR_TRAD_AGG_RO_COMP[],C$1,0),"ERROR")</f>
        <v>4283</v>
      </c>
      <c r="D17" s="199">
        <f>IFERROR(VLOOKUP($B17,MMWR_TRAD_AGG_RO_COMP[],D$1,0),"ERROR")</f>
        <v>488.77865981790001</v>
      </c>
      <c r="E17" s="196">
        <f>IFERROR(VLOOKUP($B17,MMWR_TRAD_AGG_RO_COMP[],E$1,0),"ERROR")</f>
        <v>5206</v>
      </c>
      <c r="F17" s="192">
        <f>IFERROR(VLOOKUP($B17,MMWR_TRAD_AGG_RO_COMP[],F$1,0),"ERROR")</f>
        <v>1492</v>
      </c>
      <c r="G17" s="217">
        <f t="shared" si="0"/>
        <v>0.28659239339223974</v>
      </c>
      <c r="H17" s="191">
        <f>IFERROR(VLOOKUP($B17,MMWR_TRAD_AGG_RO_COMP[],H$1,0),"ERROR")</f>
        <v>5839</v>
      </c>
      <c r="I17" s="192">
        <f>IFERROR(VLOOKUP($B17,MMWR_TRAD_AGG_RO_COMP[],I$1,0),"ERROR")</f>
        <v>4554</v>
      </c>
      <c r="J17" s="217">
        <f t="shared" si="1"/>
        <v>0.77992806987497865</v>
      </c>
      <c r="K17" s="205">
        <f>IFERROR(VLOOKUP($B17,MMWR_TRAD_AGG_RO_COMP[],K$1,0),"ERROR")</f>
        <v>792</v>
      </c>
      <c r="L17" s="206">
        <f>IFERROR(VLOOKUP($B17,MMWR_TRAD_AGG_RO_COMP[],L$1,0),"ERROR")</f>
        <v>448</v>
      </c>
      <c r="M17" s="217">
        <f t="shared" si="2"/>
        <v>0.56565656565656564</v>
      </c>
      <c r="N17" s="205">
        <f>IFERROR(VLOOKUP($B17,MMWR_TRAD_AGG_RO_COMP[],N$1,0),"ERROR")</f>
        <v>993</v>
      </c>
      <c r="O17" s="206">
        <f>IFERROR(VLOOKUP($B17,MMWR_TRAD_AGG_RO_COMP[],O$1,0),"ERROR")</f>
        <v>721</v>
      </c>
      <c r="P17" s="217">
        <f t="shared" si="3"/>
        <v>0.72608257804632426</v>
      </c>
      <c r="Q17" s="202">
        <f>IFERROR(VLOOKUP($B17,MMWR_TRAD_AGG_RO_COMP[],Q$1,0),"ERROR")</f>
        <v>0</v>
      </c>
      <c r="R17" s="202">
        <f>IFERROR(VLOOKUP($B17,MMWR_TRAD_AGG_RO_COMP[],R$1,0),"ERROR")</f>
        <v>1</v>
      </c>
      <c r="S17" s="202">
        <f>IFERROR(VLOOKUP($B17,MMWR_APP_RO[],S$1,0),"ERROR")</f>
        <v>5034</v>
      </c>
      <c r="T17" s="25"/>
    </row>
    <row r="18" spans="1:20" x14ac:dyDescent="0.2">
      <c r="A18" s="107"/>
      <c r="B18" s="108" t="s">
        <v>70</v>
      </c>
      <c r="C18" s="210">
        <f>IFERROR(VLOOKUP($B18,MMWR_TRAD_AGG_RO_COMP[],C$1,0),"ERROR")</f>
        <v>1036</v>
      </c>
      <c r="D18" s="199">
        <f>IFERROR(VLOOKUP($B18,MMWR_TRAD_AGG_RO_COMP[],D$1,0),"ERROR")</f>
        <v>198.89382239380001</v>
      </c>
      <c r="E18" s="196">
        <f>IFERROR(VLOOKUP($B18,MMWR_TRAD_AGG_RO_COMP[],E$1,0),"ERROR")</f>
        <v>2210</v>
      </c>
      <c r="F18" s="192">
        <f>IFERROR(VLOOKUP($B18,MMWR_TRAD_AGG_RO_COMP[],F$1,0),"ERROR")</f>
        <v>371</v>
      </c>
      <c r="G18" s="217">
        <f t="shared" si="0"/>
        <v>0.1678733031674208</v>
      </c>
      <c r="H18" s="191">
        <f>IFERROR(VLOOKUP($B18,MMWR_TRAD_AGG_RO_COMP[],H$1,0),"ERROR")</f>
        <v>4325</v>
      </c>
      <c r="I18" s="192">
        <f>IFERROR(VLOOKUP($B18,MMWR_TRAD_AGG_RO_COMP[],I$1,0),"ERROR")</f>
        <v>1122</v>
      </c>
      <c r="J18" s="217">
        <f t="shared" si="1"/>
        <v>0.25942196531791906</v>
      </c>
      <c r="K18" s="205">
        <f>IFERROR(VLOOKUP($B18,MMWR_TRAD_AGG_RO_COMP[],K$1,0),"ERROR")</f>
        <v>3428</v>
      </c>
      <c r="L18" s="206">
        <f>IFERROR(VLOOKUP($B18,MMWR_TRAD_AGG_RO_COMP[],L$1,0),"ERROR")</f>
        <v>2509</v>
      </c>
      <c r="M18" s="217">
        <f t="shared" si="2"/>
        <v>0.73191365227537919</v>
      </c>
      <c r="N18" s="205">
        <f>IFERROR(VLOOKUP($B18,MMWR_TRAD_AGG_RO_COMP[],N$1,0),"ERROR")</f>
        <v>374</v>
      </c>
      <c r="O18" s="206">
        <f>IFERROR(VLOOKUP($B18,MMWR_TRAD_AGG_RO_COMP[],O$1,0),"ERROR")</f>
        <v>156</v>
      </c>
      <c r="P18" s="217">
        <f t="shared" si="3"/>
        <v>0.41711229946524064</v>
      </c>
      <c r="Q18" s="202">
        <f>IFERROR(VLOOKUP($B18,MMWR_TRAD_AGG_RO_COMP[],Q$1,0),"ERROR")</f>
        <v>0</v>
      </c>
      <c r="R18" s="202">
        <f>IFERROR(VLOOKUP($B18,MMWR_TRAD_AGG_RO_COMP[],R$1,0),"ERROR")</f>
        <v>0</v>
      </c>
      <c r="S18" s="202">
        <f>IFERROR(VLOOKUP($B18,MMWR_APP_RO[],S$1,0),"ERROR")</f>
        <v>495</v>
      </c>
      <c r="T18" s="25"/>
    </row>
    <row r="19" spans="1:20" x14ac:dyDescent="0.2">
      <c r="A19" s="107"/>
      <c r="B19" s="108" t="s">
        <v>72</v>
      </c>
      <c r="C19" s="210">
        <f>IFERROR(VLOOKUP($B19,MMWR_TRAD_AGG_RO_COMP[],C$1,0),"ERROR")</f>
        <v>14396</v>
      </c>
      <c r="D19" s="199">
        <f>IFERROR(VLOOKUP($B19,MMWR_TRAD_AGG_RO_COMP[],D$1,0),"ERROR")</f>
        <v>473.4158794109</v>
      </c>
      <c r="E19" s="196">
        <f>IFERROR(VLOOKUP($B19,MMWR_TRAD_AGG_RO_COMP[],E$1,0),"ERROR")</f>
        <v>12446</v>
      </c>
      <c r="F19" s="192">
        <f>IFERROR(VLOOKUP($B19,MMWR_TRAD_AGG_RO_COMP[],F$1,0),"ERROR")</f>
        <v>2333</v>
      </c>
      <c r="G19" s="217">
        <f t="shared" si="0"/>
        <v>0.18744978306283144</v>
      </c>
      <c r="H19" s="191">
        <f>IFERROR(VLOOKUP($B19,MMWR_TRAD_AGG_RO_COMP[],H$1,0),"ERROR")</f>
        <v>16246</v>
      </c>
      <c r="I19" s="192">
        <f>IFERROR(VLOOKUP($B19,MMWR_TRAD_AGG_RO_COMP[],I$1,0),"ERROR")</f>
        <v>11860</v>
      </c>
      <c r="J19" s="217">
        <f t="shared" si="1"/>
        <v>0.73002585251754282</v>
      </c>
      <c r="K19" s="205">
        <f>IFERROR(VLOOKUP($B19,MMWR_TRAD_AGG_RO_COMP[],K$1,0),"ERROR")</f>
        <v>7690</v>
      </c>
      <c r="L19" s="206">
        <f>IFERROR(VLOOKUP($B19,MMWR_TRAD_AGG_RO_COMP[],L$1,0),"ERROR")</f>
        <v>5780</v>
      </c>
      <c r="M19" s="217">
        <f t="shared" si="2"/>
        <v>0.75162548764629389</v>
      </c>
      <c r="N19" s="205">
        <f>IFERROR(VLOOKUP($B19,MMWR_TRAD_AGG_RO_COMP[],N$1,0),"ERROR")</f>
        <v>4401</v>
      </c>
      <c r="O19" s="206">
        <f>IFERROR(VLOOKUP($B19,MMWR_TRAD_AGG_RO_COMP[],O$1,0),"ERROR")</f>
        <v>3727</v>
      </c>
      <c r="P19" s="217">
        <f t="shared" si="3"/>
        <v>0.84685298795728248</v>
      </c>
      <c r="Q19" s="202">
        <f>IFERROR(VLOOKUP($B19,MMWR_TRAD_AGG_RO_COMP[],Q$1,0),"ERROR")</f>
        <v>7</v>
      </c>
      <c r="R19" s="202">
        <f>IFERROR(VLOOKUP($B19,MMWR_TRAD_AGG_RO_COMP[],R$1,0),"ERROR")</f>
        <v>11</v>
      </c>
      <c r="S19" s="202">
        <f>IFERROR(VLOOKUP($B19,MMWR_APP_RO[],S$1,0),"ERROR")</f>
        <v>15247</v>
      </c>
      <c r="T19" s="25"/>
    </row>
    <row r="20" spans="1:20" x14ac:dyDescent="0.2">
      <c r="A20" s="107"/>
      <c r="B20" s="108" t="s">
        <v>81</v>
      </c>
      <c r="C20" s="210">
        <f>IFERROR(VLOOKUP($B20,MMWR_TRAD_AGG_RO_COMP[],C$1,0),"ERROR")</f>
        <v>1456</v>
      </c>
      <c r="D20" s="199">
        <f>IFERROR(VLOOKUP($B20,MMWR_TRAD_AGG_RO_COMP[],D$1,0),"ERROR")</f>
        <v>250.0206043956</v>
      </c>
      <c r="E20" s="196">
        <f>IFERROR(VLOOKUP($B20,MMWR_TRAD_AGG_RO_COMP[],E$1,0),"ERROR")</f>
        <v>1090</v>
      </c>
      <c r="F20" s="192">
        <f>IFERROR(VLOOKUP($B20,MMWR_TRAD_AGG_RO_COMP[],F$1,0),"ERROR")</f>
        <v>143</v>
      </c>
      <c r="G20" s="217">
        <f t="shared" si="0"/>
        <v>0.13119266055045872</v>
      </c>
      <c r="H20" s="191">
        <f>IFERROR(VLOOKUP($B20,MMWR_TRAD_AGG_RO_COMP[],H$1,0),"ERROR")</f>
        <v>2177</v>
      </c>
      <c r="I20" s="192">
        <f>IFERROR(VLOOKUP($B20,MMWR_TRAD_AGG_RO_COMP[],I$1,0),"ERROR")</f>
        <v>1306</v>
      </c>
      <c r="J20" s="217">
        <f t="shared" si="1"/>
        <v>0.59990813045475422</v>
      </c>
      <c r="K20" s="205">
        <f>IFERROR(VLOOKUP($B20,MMWR_TRAD_AGG_RO_COMP[],K$1,0),"ERROR")</f>
        <v>1450</v>
      </c>
      <c r="L20" s="206">
        <f>IFERROR(VLOOKUP($B20,MMWR_TRAD_AGG_RO_COMP[],L$1,0),"ERROR")</f>
        <v>869</v>
      </c>
      <c r="M20" s="217">
        <f t="shared" si="2"/>
        <v>0.59931034482758616</v>
      </c>
      <c r="N20" s="205">
        <f>IFERROR(VLOOKUP($B20,MMWR_TRAD_AGG_RO_COMP[],N$1,0),"ERROR")</f>
        <v>674</v>
      </c>
      <c r="O20" s="206">
        <f>IFERROR(VLOOKUP($B20,MMWR_TRAD_AGG_RO_COMP[],O$1,0),"ERROR")</f>
        <v>626</v>
      </c>
      <c r="P20" s="217">
        <f t="shared" si="3"/>
        <v>0.92878338278931749</v>
      </c>
      <c r="Q20" s="202">
        <f>IFERROR(VLOOKUP($B20,MMWR_TRAD_AGG_RO_COMP[],Q$1,0),"ERROR")</f>
        <v>1</v>
      </c>
      <c r="R20" s="202">
        <f>IFERROR(VLOOKUP($B20,MMWR_TRAD_AGG_RO_COMP[],R$1,0),"ERROR")</f>
        <v>0</v>
      </c>
      <c r="S20" s="202">
        <f>IFERROR(VLOOKUP($B20,MMWR_APP_RO[],S$1,0),"ERROR")</f>
        <v>397</v>
      </c>
      <c r="T20" s="25"/>
    </row>
    <row r="21" spans="1:20" x14ac:dyDescent="0.2">
      <c r="A21" s="107"/>
      <c r="B21" s="108" t="s">
        <v>430</v>
      </c>
      <c r="C21" s="210">
        <f>IFERROR(VLOOKUP($B21,MMWR_TRAD_AGG_RO_COMP[],C$1,0),"ERROR")</f>
        <v>33979</v>
      </c>
      <c r="D21" s="199">
        <f>IFERROR(VLOOKUP($B21,MMWR_TRAD_AGG_RO_COMP[],D$1,0),"ERROR")</f>
        <v>558.88949056770002</v>
      </c>
      <c r="E21" s="196">
        <f>IFERROR(VLOOKUP($B21,MMWR_TRAD_AGG_RO_COMP[],E$1,0),"ERROR")</f>
        <v>1449</v>
      </c>
      <c r="F21" s="192">
        <f>IFERROR(VLOOKUP($B21,MMWR_TRAD_AGG_RO_COMP[],F$1,0),"ERROR")</f>
        <v>498</v>
      </c>
      <c r="G21" s="217">
        <f t="shared" si="0"/>
        <v>0.34368530020703936</v>
      </c>
      <c r="H21" s="191">
        <f>IFERROR(VLOOKUP($B21,MMWR_TRAD_AGG_RO_COMP[],H$1,0),"ERROR")</f>
        <v>34498</v>
      </c>
      <c r="I21" s="192">
        <f>IFERROR(VLOOKUP($B21,MMWR_TRAD_AGG_RO_COMP[],I$1,0),"ERROR")</f>
        <v>32405</v>
      </c>
      <c r="J21" s="217">
        <f t="shared" si="1"/>
        <v>0.93932981622123024</v>
      </c>
      <c r="K21" s="205">
        <f>IFERROR(VLOOKUP($B21,MMWR_TRAD_AGG_RO_COMP[],K$1,0),"ERROR")</f>
        <v>1095</v>
      </c>
      <c r="L21" s="206">
        <f>IFERROR(VLOOKUP($B21,MMWR_TRAD_AGG_RO_COMP[],L$1,0),"ERROR")</f>
        <v>624</v>
      </c>
      <c r="M21" s="217">
        <f t="shared" si="2"/>
        <v>0.56986301369863013</v>
      </c>
      <c r="N21" s="205">
        <f>IFERROR(VLOOKUP($B21,MMWR_TRAD_AGG_RO_COMP[],N$1,0),"ERROR")</f>
        <v>1382</v>
      </c>
      <c r="O21" s="206">
        <f>IFERROR(VLOOKUP($B21,MMWR_TRAD_AGG_RO_COMP[],O$1,0),"ERROR")</f>
        <v>1252</v>
      </c>
      <c r="P21" s="217">
        <f t="shared" si="3"/>
        <v>0.90593342981186686</v>
      </c>
      <c r="Q21" s="202">
        <f>IFERROR(VLOOKUP($B21,MMWR_TRAD_AGG_RO_COMP[],Q$1,0),"ERROR")</f>
        <v>0</v>
      </c>
      <c r="R21" s="202">
        <f>IFERROR(VLOOKUP($B21,MMWR_TRAD_AGG_RO_COMP[],R$1,0),"ERROR")</f>
        <v>0</v>
      </c>
      <c r="S21" s="202">
        <f>IFERROR(VLOOKUP($B21,MMWR_APP_RO[],S$1,0),"ERROR")</f>
        <v>20</v>
      </c>
      <c r="T21" s="25"/>
    </row>
    <row r="22" spans="1:20" x14ac:dyDescent="0.2">
      <c r="A22" s="107"/>
      <c r="B22" s="108" t="s">
        <v>138</v>
      </c>
      <c r="C22" s="210">
        <f>IFERROR(VLOOKUP($B22,MMWR_TRAD_AGG_RO_COMP[],C$1,0),"ERROR")</f>
        <v>419</v>
      </c>
      <c r="D22" s="199">
        <f>IFERROR(VLOOKUP($B22,MMWR_TRAD_AGG_RO_COMP[],D$1,0),"ERROR")</f>
        <v>370.31026252980001</v>
      </c>
      <c r="E22" s="196">
        <f>IFERROR(VLOOKUP($B22,MMWR_TRAD_AGG_RO_COMP[],E$1,0),"ERROR")</f>
        <v>518</v>
      </c>
      <c r="F22" s="192">
        <f>IFERROR(VLOOKUP($B22,MMWR_TRAD_AGG_RO_COMP[],F$1,0),"ERROR")</f>
        <v>114</v>
      </c>
      <c r="G22" s="217">
        <f t="shared" si="0"/>
        <v>0.22007722007722008</v>
      </c>
      <c r="H22" s="191">
        <f>IFERROR(VLOOKUP($B22,MMWR_TRAD_AGG_RO_COMP[],H$1,0),"ERROR")</f>
        <v>601</v>
      </c>
      <c r="I22" s="192">
        <f>IFERROR(VLOOKUP($B22,MMWR_TRAD_AGG_RO_COMP[],I$1,0),"ERROR")</f>
        <v>416</v>
      </c>
      <c r="J22" s="217">
        <f t="shared" si="1"/>
        <v>0.6921797004991681</v>
      </c>
      <c r="K22" s="205">
        <f>IFERROR(VLOOKUP($B22,MMWR_TRAD_AGG_RO_COMP[],K$1,0),"ERROR")</f>
        <v>100</v>
      </c>
      <c r="L22" s="206">
        <f>IFERROR(VLOOKUP($B22,MMWR_TRAD_AGG_RO_COMP[],L$1,0),"ERROR")</f>
        <v>67</v>
      </c>
      <c r="M22" s="217">
        <f t="shared" si="2"/>
        <v>0.67</v>
      </c>
      <c r="N22" s="205">
        <f>IFERROR(VLOOKUP($B22,MMWR_TRAD_AGG_RO_COMP[],N$1,0),"ERROR")</f>
        <v>105</v>
      </c>
      <c r="O22" s="206">
        <f>IFERROR(VLOOKUP($B22,MMWR_TRAD_AGG_RO_COMP[],O$1,0),"ERROR")</f>
        <v>89</v>
      </c>
      <c r="P22" s="217">
        <f t="shared" si="3"/>
        <v>0.84761904761904761</v>
      </c>
      <c r="Q22" s="202">
        <f>IFERROR(VLOOKUP($B22,MMWR_TRAD_AGG_RO_COMP[],Q$1,0),"ERROR")</f>
        <v>0</v>
      </c>
      <c r="R22" s="202">
        <f>IFERROR(VLOOKUP($B22,MMWR_TRAD_AGG_RO_COMP[],R$1,0),"ERROR")</f>
        <v>1</v>
      </c>
      <c r="S22" s="202">
        <f>IFERROR(VLOOKUP($B22,MMWR_APP_RO[],S$1,0),"ERROR")</f>
        <v>121</v>
      </c>
      <c r="T22" s="25"/>
    </row>
    <row r="23" spans="1:20" x14ac:dyDescent="0.2">
      <c r="A23" s="107"/>
      <c r="B23" s="108" t="s">
        <v>85</v>
      </c>
      <c r="C23" s="210">
        <f>IFERROR(VLOOKUP($B23,MMWR_TRAD_AGG_RO_COMP[],C$1,0),"ERROR")</f>
        <v>615</v>
      </c>
      <c r="D23" s="199">
        <f>IFERROR(VLOOKUP($B23,MMWR_TRAD_AGG_RO_COMP[],D$1,0),"ERROR")</f>
        <v>374.68617886179999</v>
      </c>
      <c r="E23" s="196">
        <f>IFERROR(VLOOKUP($B23,MMWR_TRAD_AGG_RO_COMP[],E$1,0),"ERROR")</f>
        <v>712</v>
      </c>
      <c r="F23" s="192">
        <f>IFERROR(VLOOKUP($B23,MMWR_TRAD_AGG_RO_COMP[],F$1,0),"ERROR")</f>
        <v>215</v>
      </c>
      <c r="G23" s="217">
        <f t="shared" si="0"/>
        <v>0.30196629213483145</v>
      </c>
      <c r="H23" s="191">
        <f>IFERROR(VLOOKUP($B23,MMWR_TRAD_AGG_RO_COMP[],H$1,0),"ERROR")</f>
        <v>671</v>
      </c>
      <c r="I23" s="192">
        <f>IFERROR(VLOOKUP($B23,MMWR_TRAD_AGG_RO_COMP[],I$1,0),"ERROR")</f>
        <v>532</v>
      </c>
      <c r="J23" s="217">
        <f t="shared" si="1"/>
        <v>0.79284649776453053</v>
      </c>
      <c r="K23" s="205">
        <f>IFERROR(VLOOKUP($B23,MMWR_TRAD_AGG_RO_COMP[],K$1,0),"ERROR")</f>
        <v>51</v>
      </c>
      <c r="L23" s="206">
        <f>IFERROR(VLOOKUP($B23,MMWR_TRAD_AGG_RO_COMP[],L$1,0),"ERROR")</f>
        <v>13</v>
      </c>
      <c r="M23" s="217">
        <f t="shared" si="2"/>
        <v>0.25490196078431371</v>
      </c>
      <c r="N23" s="205">
        <f>IFERROR(VLOOKUP($B23,MMWR_TRAD_AGG_RO_COMP[],N$1,0),"ERROR")</f>
        <v>139</v>
      </c>
      <c r="O23" s="206">
        <f>IFERROR(VLOOKUP($B23,MMWR_TRAD_AGG_RO_COMP[],O$1,0),"ERROR")</f>
        <v>66</v>
      </c>
      <c r="P23" s="217">
        <f t="shared" si="3"/>
        <v>0.47482014388489208</v>
      </c>
      <c r="Q23" s="202">
        <f>IFERROR(VLOOKUP($B23,MMWR_TRAD_AGG_RO_COMP[],Q$1,0),"ERROR")</f>
        <v>0</v>
      </c>
      <c r="R23" s="202">
        <f>IFERROR(VLOOKUP($B23,MMWR_TRAD_AGG_RO_COMP[],R$1,0),"ERROR")</f>
        <v>0</v>
      </c>
      <c r="S23" s="202">
        <f>IFERROR(VLOOKUP($B23,MMWR_APP_RO[],S$1,0),"ERROR")</f>
        <v>183</v>
      </c>
      <c r="T23" s="25"/>
    </row>
    <row r="24" spans="1:20" x14ac:dyDescent="0.2">
      <c r="A24" s="92"/>
      <c r="B24" s="116" t="s">
        <v>86</v>
      </c>
      <c r="C24" s="211">
        <f>IFERROR(VLOOKUP($B24,MMWR_TRAD_AGG_RO_COMP[],C$1,0),"ERROR")</f>
        <v>18564</v>
      </c>
      <c r="D24" s="200">
        <f>IFERROR(VLOOKUP($B24,MMWR_TRAD_AGG_RO_COMP[],D$1,0),"ERROR")</f>
        <v>357.51001939240001</v>
      </c>
      <c r="E24" s="197">
        <f>IFERROR(VLOOKUP($B24,MMWR_TRAD_AGG_RO_COMP[],E$1,0),"ERROR")</f>
        <v>19428</v>
      </c>
      <c r="F24" s="194">
        <f>IFERROR(VLOOKUP($B24,MMWR_TRAD_AGG_RO_COMP[],F$1,0),"ERROR")</f>
        <v>4921</v>
      </c>
      <c r="G24" s="218">
        <f t="shared" si="0"/>
        <v>0.25329421453572165</v>
      </c>
      <c r="H24" s="193">
        <f>IFERROR(VLOOKUP($B24,MMWR_TRAD_AGG_RO_COMP[],H$1,0),"ERROR")</f>
        <v>31100</v>
      </c>
      <c r="I24" s="194">
        <f>IFERROR(VLOOKUP($B24,MMWR_TRAD_AGG_RO_COMP[],I$1,0),"ERROR")</f>
        <v>18993</v>
      </c>
      <c r="J24" s="218">
        <f t="shared" si="1"/>
        <v>0.61070739549839226</v>
      </c>
      <c r="K24" s="207">
        <f>IFERROR(VLOOKUP($B24,MMWR_TRAD_AGG_RO_COMP[],K$1,0),"ERROR")</f>
        <v>10554</v>
      </c>
      <c r="L24" s="208">
        <f>IFERROR(VLOOKUP($B24,MMWR_TRAD_AGG_RO_COMP[],L$1,0),"ERROR")</f>
        <v>6574</v>
      </c>
      <c r="M24" s="218">
        <f t="shared" si="2"/>
        <v>0.6228917945802539</v>
      </c>
      <c r="N24" s="207">
        <f>IFERROR(VLOOKUP($B24,MMWR_TRAD_AGG_RO_COMP[],N$1,0),"ERROR")</f>
        <v>3293</v>
      </c>
      <c r="O24" s="208">
        <f>IFERROR(VLOOKUP($B24,MMWR_TRAD_AGG_RO_COMP[],O$1,0),"ERROR")</f>
        <v>2711</v>
      </c>
      <c r="P24" s="218">
        <f t="shared" si="3"/>
        <v>0.82326146371090192</v>
      </c>
      <c r="Q24" s="203">
        <f>IFERROR(VLOOKUP($B24,MMWR_TRAD_AGG_RO_COMP[],Q$1,0),"ERROR")</f>
        <v>1</v>
      </c>
      <c r="R24" s="203">
        <f>IFERROR(VLOOKUP($B24,MMWR_TRAD_AGG_RO_COMP[],R$1,0),"ERROR")</f>
        <v>15</v>
      </c>
      <c r="S24" s="202">
        <f>IFERROR(VLOOKUP($B24,MMWR_APP_RO[],S$1,0),"ERROR")</f>
        <v>9241</v>
      </c>
      <c r="T24" s="25"/>
    </row>
    <row r="25" spans="1:20" x14ac:dyDescent="0.2">
      <c r="A25" s="107"/>
      <c r="B25" s="101" t="s">
        <v>390</v>
      </c>
      <c r="C25" s="213">
        <f>IFERROR(VLOOKUP($B25,MMWR_TRAD_AGG_DISTRICT_COMP[],C$1,0),"ERROR")</f>
        <v>40859</v>
      </c>
      <c r="D25" s="198">
        <f>IFERROR(VLOOKUP($B25,MMWR_TRAD_AGG_DISTRICT_COMP[],D$1,0),"ERROR")</f>
        <v>351.5533909298</v>
      </c>
      <c r="E25" s="214">
        <f>IFERROR(VLOOKUP($B25,MMWR_TRAD_AGG_DISTRICT_COMP[],E$1,0),"ERROR")</f>
        <v>57276</v>
      </c>
      <c r="F25" s="219">
        <f>IFERROR(VLOOKUP($B25,MMWR_TRAD_AGG_DISTRICT_COMP[],F$1,0),"ERROR")</f>
        <v>11310</v>
      </c>
      <c r="G25" s="215">
        <f t="shared" si="0"/>
        <v>0.19746490676723236</v>
      </c>
      <c r="H25" s="219">
        <f>IFERROR(VLOOKUP($B25,MMWR_TRAD_AGG_DISTRICT_COMP[],H$1,0),"ERROR")</f>
        <v>69297</v>
      </c>
      <c r="I25" s="219">
        <f>IFERROR(VLOOKUP($B25,MMWR_TRAD_AGG_DISTRICT_COMP[],I$1,0),"ERROR")</f>
        <v>36931</v>
      </c>
      <c r="J25" s="215">
        <f t="shared" si="1"/>
        <v>0.53293793382108889</v>
      </c>
      <c r="K25" s="213">
        <f>IFERROR(VLOOKUP($B25,MMWR_TRAD_AGG_DISTRICT_COMP[],K$1,0),"ERROR")</f>
        <v>15005</v>
      </c>
      <c r="L25" s="213">
        <f>IFERROR(VLOOKUP($B25,MMWR_TRAD_AGG_DISTRICT_COMP[],L$1,0),"ERROR")</f>
        <v>8809</v>
      </c>
      <c r="M25" s="215">
        <f t="shared" si="2"/>
        <v>0.58707097634121963</v>
      </c>
      <c r="N25" s="213">
        <f>IFERROR(VLOOKUP($B25,MMWR_TRAD_AGG_DISTRICT_COMP[],N$1,0),"ERROR")</f>
        <v>14615</v>
      </c>
      <c r="O25" s="213">
        <f>IFERROR(VLOOKUP($B25,MMWR_TRAD_AGG_DISTRICT_COMP[],O$1,0),"ERROR")</f>
        <v>10028</v>
      </c>
      <c r="P25" s="215">
        <f t="shared" si="3"/>
        <v>0.68614437222032154</v>
      </c>
      <c r="Q25" s="213">
        <f>IFERROR(VLOOKUP($B25,MMWR_TRAD_AGG_DISTRICT_COMP[],Q$1,0),"ERROR")</f>
        <v>5703</v>
      </c>
      <c r="R25" s="216">
        <f>IFERROR(VLOOKUP($B25,MMWR_TRAD_AGG_DISTRICT_COMP[],R$1,0),"ERROR")</f>
        <v>1028</v>
      </c>
      <c r="S25" s="216">
        <f>IFERROR(VLOOKUP($B25,MMWR_APP_RO[],S$1,0),"ERROR")</f>
        <v>51769</v>
      </c>
      <c r="T25" s="25"/>
    </row>
    <row r="26" spans="1:20" x14ac:dyDescent="0.2">
      <c r="A26" s="107"/>
      <c r="B26" s="108" t="s">
        <v>40</v>
      </c>
      <c r="C26" s="210">
        <f>IFERROR(VLOOKUP($B26,MMWR_TRAD_AGG_RO_COMP[],C$1,0),"ERROR")</f>
        <v>6021</v>
      </c>
      <c r="D26" s="199">
        <f>IFERROR(VLOOKUP($B26,MMWR_TRAD_AGG_RO_COMP[],D$1,0),"ERROR")</f>
        <v>513.3893041023</v>
      </c>
      <c r="E26" s="196">
        <f>IFERROR(VLOOKUP($B26,MMWR_TRAD_AGG_RO_COMP[],E$1,0),"ERROR")</f>
        <v>6870</v>
      </c>
      <c r="F26" s="192">
        <f>IFERROR(VLOOKUP($B26,MMWR_TRAD_AGG_RO_COMP[],F$1,0),"ERROR")</f>
        <v>1691</v>
      </c>
      <c r="G26" s="217">
        <f t="shared" si="0"/>
        <v>0.24614264919941775</v>
      </c>
      <c r="H26" s="191">
        <f>IFERROR(VLOOKUP($B26,MMWR_TRAD_AGG_RO_COMP[],H$1,0),"ERROR")</f>
        <v>7328</v>
      </c>
      <c r="I26" s="192">
        <f>IFERROR(VLOOKUP($B26,MMWR_TRAD_AGG_RO_COMP[],I$1,0),"ERROR")</f>
        <v>5657</v>
      </c>
      <c r="J26" s="217">
        <f t="shared" si="1"/>
        <v>0.77197052401746724</v>
      </c>
      <c r="K26" s="205">
        <f>IFERROR(VLOOKUP($B26,MMWR_TRAD_AGG_RO_COMP[],K$1,0),"ERROR")</f>
        <v>1815</v>
      </c>
      <c r="L26" s="206">
        <f>IFERROR(VLOOKUP($B26,MMWR_TRAD_AGG_RO_COMP[],L$1,0),"ERROR")</f>
        <v>1495</v>
      </c>
      <c r="M26" s="217">
        <f t="shared" si="2"/>
        <v>0.82369146005509641</v>
      </c>
      <c r="N26" s="205">
        <f>IFERROR(VLOOKUP($B26,MMWR_TRAD_AGG_RO_COMP[],N$1,0),"ERROR")</f>
        <v>1011</v>
      </c>
      <c r="O26" s="206">
        <f>IFERROR(VLOOKUP($B26,MMWR_TRAD_AGG_RO_COMP[],O$1,0),"ERROR")</f>
        <v>639</v>
      </c>
      <c r="P26" s="217">
        <f t="shared" si="3"/>
        <v>0.63204747774480707</v>
      </c>
      <c r="Q26" s="202">
        <f>IFERROR(VLOOKUP($B26,MMWR_TRAD_AGG_RO_COMP[],Q$1,0),"ERROR")</f>
        <v>0</v>
      </c>
      <c r="R26" s="202">
        <f>IFERROR(VLOOKUP($B26,MMWR_TRAD_AGG_RO_COMP[],R$1,0),"ERROR")</f>
        <v>210</v>
      </c>
      <c r="S26" s="202">
        <f>IFERROR(VLOOKUP($B26,MMWR_APP_RO[],S$1,0),"ERROR")</f>
        <v>8113</v>
      </c>
      <c r="T26" s="25"/>
    </row>
    <row r="27" spans="1:20" x14ac:dyDescent="0.2">
      <c r="A27" s="107"/>
      <c r="B27" s="108" t="s">
        <v>41</v>
      </c>
      <c r="C27" s="210">
        <f>IFERROR(VLOOKUP($B27,MMWR_TRAD_AGG_RO_COMP[],C$1,0),"ERROR")</f>
        <v>6068</v>
      </c>
      <c r="D27" s="199">
        <f>IFERROR(VLOOKUP($B27,MMWR_TRAD_AGG_RO_COMP[],D$1,0),"ERROR")</f>
        <v>441.5471324984</v>
      </c>
      <c r="E27" s="196">
        <f>IFERROR(VLOOKUP($B27,MMWR_TRAD_AGG_RO_COMP[],E$1,0),"ERROR")</f>
        <v>8236</v>
      </c>
      <c r="F27" s="192">
        <f>IFERROR(VLOOKUP($B27,MMWR_TRAD_AGG_RO_COMP[],F$1,0),"ERROR")</f>
        <v>2056</v>
      </c>
      <c r="G27" s="217">
        <f t="shared" si="0"/>
        <v>0.24963574550752793</v>
      </c>
      <c r="H27" s="191">
        <f>IFERROR(VLOOKUP($B27,MMWR_TRAD_AGG_RO_COMP[],H$1,0),"ERROR")</f>
        <v>8452</v>
      </c>
      <c r="I27" s="192">
        <f>IFERROR(VLOOKUP($B27,MMWR_TRAD_AGG_RO_COMP[],I$1,0),"ERROR")</f>
        <v>5611</v>
      </c>
      <c r="J27" s="217">
        <f t="shared" si="1"/>
        <v>0.66386654046379556</v>
      </c>
      <c r="K27" s="205">
        <f>IFERROR(VLOOKUP($B27,MMWR_TRAD_AGG_RO_COMP[],K$1,0),"ERROR")</f>
        <v>1737</v>
      </c>
      <c r="L27" s="206">
        <f>IFERROR(VLOOKUP($B27,MMWR_TRAD_AGG_RO_COMP[],L$1,0),"ERROR")</f>
        <v>927</v>
      </c>
      <c r="M27" s="217">
        <f t="shared" si="2"/>
        <v>0.53367875647668395</v>
      </c>
      <c r="N27" s="205">
        <f>IFERROR(VLOOKUP($B27,MMWR_TRAD_AGG_RO_COMP[],N$1,0),"ERROR")</f>
        <v>3182</v>
      </c>
      <c r="O27" s="206">
        <f>IFERROR(VLOOKUP($B27,MMWR_TRAD_AGG_RO_COMP[],O$1,0),"ERROR")</f>
        <v>1532</v>
      </c>
      <c r="P27" s="217">
        <f t="shared" si="3"/>
        <v>0.48145820238843495</v>
      </c>
      <c r="Q27" s="202">
        <f>IFERROR(VLOOKUP($B27,MMWR_TRAD_AGG_RO_COMP[],Q$1,0),"ERROR")</f>
        <v>0</v>
      </c>
      <c r="R27" s="202">
        <f>IFERROR(VLOOKUP($B27,MMWR_TRAD_AGG_RO_COMP[],R$1,0),"ERROR")</f>
        <v>330</v>
      </c>
      <c r="S27" s="202">
        <f>IFERROR(VLOOKUP($B27,MMWR_APP_RO[],S$1,0),"ERROR")</f>
        <v>13764</v>
      </c>
      <c r="T27" s="25"/>
    </row>
    <row r="28" spans="1:20" x14ac:dyDescent="0.2">
      <c r="A28" s="107"/>
      <c r="B28" s="108" t="s">
        <v>44</v>
      </c>
      <c r="C28" s="210">
        <f>IFERROR(VLOOKUP($B28,MMWR_TRAD_AGG_RO_COMP[],C$1,0),"ERROR")</f>
        <v>1119</v>
      </c>
      <c r="D28" s="199">
        <f>IFERROR(VLOOKUP($B28,MMWR_TRAD_AGG_RO_COMP[],D$1,0),"ERROR")</f>
        <v>129.82573726539999</v>
      </c>
      <c r="E28" s="196">
        <f>IFERROR(VLOOKUP($B28,MMWR_TRAD_AGG_RO_COMP[],E$1,0),"ERROR")</f>
        <v>2176</v>
      </c>
      <c r="F28" s="192">
        <f>IFERROR(VLOOKUP($B28,MMWR_TRAD_AGG_RO_COMP[],F$1,0),"ERROR")</f>
        <v>344</v>
      </c>
      <c r="G28" s="217">
        <f t="shared" si="0"/>
        <v>0.15808823529411764</v>
      </c>
      <c r="H28" s="191">
        <f>IFERROR(VLOOKUP($B28,MMWR_TRAD_AGG_RO_COMP[],H$1,0),"ERROR")</f>
        <v>1793</v>
      </c>
      <c r="I28" s="192">
        <f>IFERROR(VLOOKUP($B28,MMWR_TRAD_AGG_RO_COMP[],I$1,0),"ERROR")</f>
        <v>763</v>
      </c>
      <c r="J28" s="217">
        <f t="shared" si="1"/>
        <v>0.42554378137200222</v>
      </c>
      <c r="K28" s="205">
        <f>IFERROR(VLOOKUP($B28,MMWR_TRAD_AGG_RO_COMP[],K$1,0),"ERROR")</f>
        <v>357</v>
      </c>
      <c r="L28" s="206">
        <f>IFERROR(VLOOKUP($B28,MMWR_TRAD_AGG_RO_COMP[],L$1,0),"ERROR")</f>
        <v>116</v>
      </c>
      <c r="M28" s="217">
        <f t="shared" si="2"/>
        <v>0.32492997198879553</v>
      </c>
      <c r="N28" s="205">
        <f>IFERROR(VLOOKUP($B28,MMWR_TRAD_AGG_RO_COMP[],N$1,0),"ERROR")</f>
        <v>261</v>
      </c>
      <c r="O28" s="206">
        <f>IFERROR(VLOOKUP($B28,MMWR_TRAD_AGG_RO_COMP[],O$1,0),"ERROR")</f>
        <v>139</v>
      </c>
      <c r="P28" s="217">
        <f t="shared" si="3"/>
        <v>0.53256704980842917</v>
      </c>
      <c r="Q28" s="202">
        <f>IFERROR(VLOOKUP($B28,MMWR_TRAD_AGG_RO_COMP[],Q$1,0),"ERROR")</f>
        <v>0</v>
      </c>
      <c r="R28" s="202">
        <f>IFERROR(VLOOKUP($B28,MMWR_TRAD_AGG_RO_COMP[],R$1,0),"ERROR")</f>
        <v>6</v>
      </c>
      <c r="S28" s="202">
        <f>IFERROR(VLOOKUP($B28,MMWR_APP_RO[],S$1,0),"ERROR")</f>
        <v>1176</v>
      </c>
      <c r="T28" s="25"/>
    </row>
    <row r="29" spans="1:20" x14ac:dyDescent="0.2">
      <c r="A29" s="107"/>
      <c r="B29" s="108" t="s">
        <v>45</v>
      </c>
      <c r="C29" s="210">
        <f>IFERROR(VLOOKUP($B29,MMWR_TRAD_AGG_RO_COMP[],C$1,0),"ERROR")</f>
        <v>3524</v>
      </c>
      <c r="D29" s="199">
        <f>IFERROR(VLOOKUP($B29,MMWR_TRAD_AGG_RO_COMP[],D$1,0),"ERROR")</f>
        <v>269.44154370029997</v>
      </c>
      <c r="E29" s="196">
        <f>IFERROR(VLOOKUP($B29,MMWR_TRAD_AGG_RO_COMP[],E$1,0),"ERROR")</f>
        <v>6915</v>
      </c>
      <c r="F29" s="192">
        <f>IFERROR(VLOOKUP($B29,MMWR_TRAD_AGG_RO_COMP[],F$1,0),"ERROR")</f>
        <v>1718</v>
      </c>
      <c r="G29" s="217">
        <f t="shared" si="0"/>
        <v>0.24844540853217642</v>
      </c>
      <c r="H29" s="191">
        <f>IFERROR(VLOOKUP($B29,MMWR_TRAD_AGG_RO_COMP[],H$1,0),"ERROR")</f>
        <v>7492</v>
      </c>
      <c r="I29" s="192">
        <f>IFERROR(VLOOKUP($B29,MMWR_TRAD_AGG_RO_COMP[],I$1,0),"ERROR")</f>
        <v>3754</v>
      </c>
      <c r="J29" s="217">
        <f t="shared" si="1"/>
        <v>0.50106780565937004</v>
      </c>
      <c r="K29" s="205">
        <f>IFERROR(VLOOKUP($B29,MMWR_TRAD_AGG_RO_COMP[],K$1,0),"ERROR")</f>
        <v>1696</v>
      </c>
      <c r="L29" s="206">
        <f>IFERROR(VLOOKUP($B29,MMWR_TRAD_AGG_RO_COMP[],L$1,0),"ERROR")</f>
        <v>1017</v>
      </c>
      <c r="M29" s="217">
        <f t="shared" si="2"/>
        <v>0.59964622641509435</v>
      </c>
      <c r="N29" s="205">
        <f>IFERROR(VLOOKUP($B29,MMWR_TRAD_AGG_RO_COMP[],N$1,0),"ERROR")</f>
        <v>738</v>
      </c>
      <c r="O29" s="206">
        <f>IFERROR(VLOOKUP($B29,MMWR_TRAD_AGG_RO_COMP[],O$1,0),"ERROR")</f>
        <v>415</v>
      </c>
      <c r="P29" s="217">
        <f t="shared" si="3"/>
        <v>0.56233062330623307</v>
      </c>
      <c r="Q29" s="202">
        <f>IFERROR(VLOOKUP($B29,MMWR_TRAD_AGG_RO_COMP[],Q$1,0),"ERROR")</f>
        <v>2</v>
      </c>
      <c r="R29" s="202">
        <f>IFERROR(VLOOKUP($B29,MMWR_TRAD_AGG_RO_COMP[],R$1,0),"ERROR")</f>
        <v>200</v>
      </c>
      <c r="S29" s="202">
        <f>IFERROR(VLOOKUP($B29,MMWR_APP_RO[],S$1,0),"ERROR")</f>
        <v>5628</v>
      </c>
      <c r="T29" s="25"/>
    </row>
    <row r="30" spans="1:20" x14ac:dyDescent="0.2">
      <c r="A30" s="107"/>
      <c r="B30" s="108" t="s">
        <v>46</v>
      </c>
      <c r="C30" s="210">
        <f>IFERROR(VLOOKUP($B30,MMWR_TRAD_AGG_RO_COMP[],C$1,0),"ERROR")</f>
        <v>65</v>
      </c>
      <c r="D30" s="199">
        <f>IFERROR(VLOOKUP($B30,MMWR_TRAD_AGG_RO_COMP[],D$1,0),"ERROR")</f>
        <v>108.8769230769</v>
      </c>
      <c r="E30" s="196">
        <f>IFERROR(VLOOKUP($B30,MMWR_TRAD_AGG_RO_COMP[],E$1,0),"ERROR")</f>
        <v>850</v>
      </c>
      <c r="F30" s="192">
        <f>IFERROR(VLOOKUP($B30,MMWR_TRAD_AGG_RO_COMP[],F$1,0),"ERROR")</f>
        <v>152</v>
      </c>
      <c r="G30" s="217">
        <f t="shared" si="0"/>
        <v>0.17882352941176471</v>
      </c>
      <c r="H30" s="191">
        <f>IFERROR(VLOOKUP($B30,MMWR_TRAD_AGG_RO_COMP[],H$1,0),"ERROR")</f>
        <v>197</v>
      </c>
      <c r="I30" s="192">
        <f>IFERROR(VLOOKUP($B30,MMWR_TRAD_AGG_RO_COMP[],I$1,0),"ERROR")</f>
        <v>22</v>
      </c>
      <c r="J30" s="217">
        <f t="shared" si="1"/>
        <v>0.1116751269035533</v>
      </c>
      <c r="K30" s="205">
        <f>IFERROR(VLOOKUP($B30,MMWR_TRAD_AGG_RO_COMP[],K$1,0),"ERROR")</f>
        <v>104</v>
      </c>
      <c r="L30" s="206">
        <f>IFERROR(VLOOKUP($B30,MMWR_TRAD_AGG_RO_COMP[],L$1,0),"ERROR")</f>
        <v>40</v>
      </c>
      <c r="M30" s="217">
        <f t="shared" si="2"/>
        <v>0.38461538461538464</v>
      </c>
      <c r="N30" s="205">
        <f>IFERROR(VLOOKUP($B30,MMWR_TRAD_AGG_RO_COMP[],N$1,0),"ERROR")</f>
        <v>64</v>
      </c>
      <c r="O30" s="206">
        <f>IFERROR(VLOOKUP($B30,MMWR_TRAD_AGG_RO_COMP[],O$1,0),"ERROR")</f>
        <v>31</v>
      </c>
      <c r="P30" s="217">
        <f t="shared" si="3"/>
        <v>0.484375</v>
      </c>
      <c r="Q30" s="202">
        <f>IFERROR(VLOOKUP($B30,MMWR_TRAD_AGG_RO_COMP[],Q$1,0),"ERROR")</f>
        <v>0</v>
      </c>
      <c r="R30" s="202">
        <f>IFERROR(VLOOKUP($B30,MMWR_TRAD_AGG_RO_COMP[],R$1,0),"ERROR")</f>
        <v>1</v>
      </c>
      <c r="S30" s="202">
        <f>IFERROR(VLOOKUP($B30,MMWR_APP_RO[],S$1,0),"ERROR")</f>
        <v>577</v>
      </c>
      <c r="T30" s="25"/>
    </row>
    <row r="31" spans="1:20" x14ac:dyDescent="0.2">
      <c r="A31" s="107"/>
      <c r="B31" s="108" t="s">
        <v>51</v>
      </c>
      <c r="C31" s="210">
        <f>IFERROR(VLOOKUP($B31,MMWR_TRAD_AGG_RO_COMP[],C$1,0),"ERROR")</f>
        <v>8314</v>
      </c>
      <c r="D31" s="199">
        <f>IFERROR(VLOOKUP($B31,MMWR_TRAD_AGG_RO_COMP[],D$1,0),"ERROR")</f>
        <v>526.69244647580001</v>
      </c>
      <c r="E31" s="196">
        <f>IFERROR(VLOOKUP($B31,MMWR_TRAD_AGG_RO_COMP[],E$1,0),"ERROR")</f>
        <v>4815</v>
      </c>
      <c r="F31" s="192">
        <f>IFERROR(VLOOKUP($B31,MMWR_TRAD_AGG_RO_COMP[],F$1,0),"ERROR")</f>
        <v>859</v>
      </c>
      <c r="G31" s="217">
        <f t="shared" si="0"/>
        <v>0.17840083073727933</v>
      </c>
      <c r="H31" s="191">
        <f>IFERROR(VLOOKUP($B31,MMWR_TRAD_AGG_RO_COMP[],H$1,0),"ERROR")</f>
        <v>13037</v>
      </c>
      <c r="I31" s="192">
        <f>IFERROR(VLOOKUP($B31,MMWR_TRAD_AGG_RO_COMP[],I$1,0),"ERROR")</f>
        <v>8438</v>
      </c>
      <c r="J31" s="217">
        <f t="shared" si="1"/>
        <v>0.64723479328066269</v>
      </c>
      <c r="K31" s="205">
        <f>IFERROR(VLOOKUP($B31,MMWR_TRAD_AGG_RO_COMP[],K$1,0),"ERROR")</f>
        <v>1932</v>
      </c>
      <c r="L31" s="206">
        <f>IFERROR(VLOOKUP($B31,MMWR_TRAD_AGG_RO_COMP[],L$1,0),"ERROR")</f>
        <v>1289</v>
      </c>
      <c r="M31" s="217">
        <f t="shared" si="2"/>
        <v>0.667184265010352</v>
      </c>
      <c r="N31" s="205">
        <f>IFERROR(VLOOKUP($B31,MMWR_TRAD_AGG_RO_COMP[],N$1,0),"ERROR")</f>
        <v>1630</v>
      </c>
      <c r="O31" s="206">
        <f>IFERROR(VLOOKUP($B31,MMWR_TRAD_AGG_RO_COMP[],O$1,0),"ERROR")</f>
        <v>1347</v>
      </c>
      <c r="P31" s="217">
        <f t="shared" si="3"/>
        <v>0.82638036809815951</v>
      </c>
      <c r="Q31" s="202">
        <f>IFERROR(VLOOKUP($B31,MMWR_TRAD_AGG_RO_COMP[],Q$1,0),"ERROR")</f>
        <v>1</v>
      </c>
      <c r="R31" s="202">
        <f>IFERROR(VLOOKUP($B31,MMWR_TRAD_AGG_RO_COMP[],R$1,0),"ERROR")</f>
        <v>195</v>
      </c>
      <c r="S31" s="202">
        <f>IFERROR(VLOOKUP($B31,MMWR_APP_RO[],S$1,0),"ERROR")</f>
        <v>8349</v>
      </c>
      <c r="T31" s="25"/>
    </row>
    <row r="32" spans="1:20" x14ac:dyDescent="0.2">
      <c r="A32" s="107"/>
      <c r="B32" s="108" t="s">
        <v>53</v>
      </c>
      <c r="C32" s="210">
        <f>IFERROR(VLOOKUP($B32,MMWR_TRAD_AGG_RO_COMP[],C$1,0),"ERROR")</f>
        <v>2371</v>
      </c>
      <c r="D32" s="199">
        <f>IFERROR(VLOOKUP($B32,MMWR_TRAD_AGG_RO_COMP[],D$1,0),"ERROR")</f>
        <v>154.5946857866</v>
      </c>
      <c r="E32" s="196">
        <f>IFERROR(VLOOKUP($B32,MMWR_TRAD_AGG_RO_COMP[],E$1,0),"ERROR")</f>
        <v>2074</v>
      </c>
      <c r="F32" s="192">
        <f>IFERROR(VLOOKUP($B32,MMWR_TRAD_AGG_RO_COMP[],F$1,0),"ERROR")</f>
        <v>234</v>
      </c>
      <c r="G32" s="217">
        <f t="shared" si="0"/>
        <v>0.11282545805207329</v>
      </c>
      <c r="H32" s="191">
        <f>IFERROR(VLOOKUP($B32,MMWR_TRAD_AGG_RO_COMP[],H$1,0),"ERROR")</f>
        <v>3898</v>
      </c>
      <c r="I32" s="192">
        <f>IFERROR(VLOOKUP($B32,MMWR_TRAD_AGG_RO_COMP[],I$1,0),"ERROR")</f>
        <v>1433</v>
      </c>
      <c r="J32" s="217">
        <f t="shared" si="1"/>
        <v>0.36762442278091328</v>
      </c>
      <c r="K32" s="205">
        <f>IFERROR(VLOOKUP($B32,MMWR_TRAD_AGG_RO_COMP[],K$1,0),"ERROR")</f>
        <v>955</v>
      </c>
      <c r="L32" s="206">
        <f>IFERROR(VLOOKUP($B32,MMWR_TRAD_AGG_RO_COMP[],L$1,0),"ERROR")</f>
        <v>573</v>
      </c>
      <c r="M32" s="217">
        <f t="shared" si="2"/>
        <v>0.6</v>
      </c>
      <c r="N32" s="205">
        <f>IFERROR(VLOOKUP($B32,MMWR_TRAD_AGG_RO_COMP[],N$1,0),"ERROR")</f>
        <v>415</v>
      </c>
      <c r="O32" s="206">
        <f>IFERROR(VLOOKUP($B32,MMWR_TRAD_AGG_RO_COMP[],O$1,0),"ERROR")</f>
        <v>197</v>
      </c>
      <c r="P32" s="217">
        <f t="shared" si="3"/>
        <v>0.47469879518072289</v>
      </c>
      <c r="Q32" s="202">
        <f>IFERROR(VLOOKUP($B32,MMWR_TRAD_AGG_RO_COMP[],Q$1,0),"ERROR")</f>
        <v>2</v>
      </c>
      <c r="R32" s="202">
        <f>IFERROR(VLOOKUP($B32,MMWR_TRAD_AGG_RO_COMP[],R$1,0),"ERROR")</f>
        <v>15</v>
      </c>
      <c r="S32" s="202">
        <f>IFERROR(VLOOKUP($B32,MMWR_APP_RO[],S$1,0),"ERROR")</f>
        <v>1139</v>
      </c>
      <c r="T32" s="25"/>
    </row>
    <row r="33" spans="1:20" x14ac:dyDescent="0.2">
      <c r="A33" s="107"/>
      <c r="B33" s="108" t="s">
        <v>59</v>
      </c>
      <c r="C33" s="210">
        <f>IFERROR(VLOOKUP($B33,MMWR_TRAD_AGG_RO_COMP[],C$1,0),"ERROR")</f>
        <v>4232</v>
      </c>
      <c r="D33" s="199">
        <f>IFERROR(VLOOKUP($B33,MMWR_TRAD_AGG_RO_COMP[],D$1,0),"ERROR")</f>
        <v>193.48180529300001</v>
      </c>
      <c r="E33" s="196">
        <f>IFERROR(VLOOKUP($B33,MMWR_TRAD_AGG_RO_COMP[],E$1,0),"ERROR")</f>
        <v>6385</v>
      </c>
      <c r="F33" s="192">
        <f>IFERROR(VLOOKUP($B33,MMWR_TRAD_AGG_RO_COMP[],F$1,0),"ERROR")</f>
        <v>1093</v>
      </c>
      <c r="G33" s="217">
        <f t="shared" si="0"/>
        <v>0.17118245888801881</v>
      </c>
      <c r="H33" s="191">
        <f>IFERROR(VLOOKUP($B33,MMWR_TRAD_AGG_RO_COMP[],H$1,0),"ERROR")</f>
        <v>5539</v>
      </c>
      <c r="I33" s="192">
        <f>IFERROR(VLOOKUP($B33,MMWR_TRAD_AGG_RO_COMP[],I$1,0),"ERROR")</f>
        <v>2677</v>
      </c>
      <c r="J33" s="217">
        <f t="shared" si="1"/>
        <v>0.48330023469940425</v>
      </c>
      <c r="K33" s="205">
        <f>IFERROR(VLOOKUP($B33,MMWR_TRAD_AGG_RO_COMP[],K$1,0),"ERROR")</f>
        <v>718</v>
      </c>
      <c r="L33" s="206">
        <f>IFERROR(VLOOKUP($B33,MMWR_TRAD_AGG_RO_COMP[],L$1,0),"ERROR")</f>
        <v>371</v>
      </c>
      <c r="M33" s="217">
        <f t="shared" si="2"/>
        <v>0.51671309192200554</v>
      </c>
      <c r="N33" s="205">
        <f>IFERROR(VLOOKUP($B33,MMWR_TRAD_AGG_RO_COMP[],N$1,0),"ERROR")</f>
        <v>517</v>
      </c>
      <c r="O33" s="206">
        <f>IFERROR(VLOOKUP($B33,MMWR_TRAD_AGG_RO_COMP[],O$1,0),"ERROR")</f>
        <v>235</v>
      </c>
      <c r="P33" s="217">
        <f t="shared" si="3"/>
        <v>0.45454545454545453</v>
      </c>
      <c r="Q33" s="202">
        <f>IFERROR(VLOOKUP($B33,MMWR_TRAD_AGG_RO_COMP[],Q$1,0),"ERROR")</f>
        <v>5666</v>
      </c>
      <c r="R33" s="202">
        <f>IFERROR(VLOOKUP($B33,MMWR_TRAD_AGG_RO_COMP[],R$1,0),"ERROR")</f>
        <v>0</v>
      </c>
      <c r="S33" s="202">
        <f>IFERROR(VLOOKUP($B33,MMWR_APP_RO[],S$1,0),"ERROR")</f>
        <v>3341</v>
      </c>
      <c r="T33" s="25"/>
    </row>
    <row r="34" spans="1:20" x14ac:dyDescent="0.2">
      <c r="A34" s="107"/>
      <c r="B34" s="108" t="s">
        <v>77</v>
      </c>
      <c r="C34" s="210">
        <f>IFERROR(VLOOKUP($B34,MMWR_TRAD_AGG_RO_COMP[],C$1,0),"ERROR")</f>
        <v>247</v>
      </c>
      <c r="D34" s="199">
        <f>IFERROR(VLOOKUP($B34,MMWR_TRAD_AGG_RO_COMP[],D$1,0),"ERROR")</f>
        <v>97.587044534399993</v>
      </c>
      <c r="E34" s="196">
        <f>IFERROR(VLOOKUP($B34,MMWR_TRAD_AGG_RO_COMP[],E$1,0),"ERROR")</f>
        <v>740</v>
      </c>
      <c r="F34" s="192">
        <f>IFERROR(VLOOKUP($B34,MMWR_TRAD_AGG_RO_COMP[],F$1,0),"ERROR")</f>
        <v>152</v>
      </c>
      <c r="G34" s="217">
        <f t="shared" si="0"/>
        <v>0.20540540540540542</v>
      </c>
      <c r="H34" s="191">
        <f>IFERROR(VLOOKUP($B34,MMWR_TRAD_AGG_RO_COMP[],H$1,0),"ERROR")</f>
        <v>483</v>
      </c>
      <c r="I34" s="192">
        <f>IFERROR(VLOOKUP($B34,MMWR_TRAD_AGG_RO_COMP[],I$1,0),"ERROR")</f>
        <v>114</v>
      </c>
      <c r="J34" s="217">
        <f t="shared" si="1"/>
        <v>0.2360248447204969</v>
      </c>
      <c r="K34" s="205">
        <f>IFERROR(VLOOKUP($B34,MMWR_TRAD_AGG_RO_COMP[],K$1,0),"ERROR")</f>
        <v>394</v>
      </c>
      <c r="L34" s="206">
        <f>IFERROR(VLOOKUP($B34,MMWR_TRAD_AGG_RO_COMP[],L$1,0),"ERROR")</f>
        <v>179</v>
      </c>
      <c r="M34" s="217">
        <f t="shared" si="2"/>
        <v>0.45431472081218272</v>
      </c>
      <c r="N34" s="205">
        <f>IFERROR(VLOOKUP($B34,MMWR_TRAD_AGG_RO_COMP[],N$1,0),"ERROR")</f>
        <v>33</v>
      </c>
      <c r="O34" s="206">
        <f>IFERROR(VLOOKUP($B34,MMWR_TRAD_AGG_RO_COMP[],O$1,0),"ERROR")</f>
        <v>14</v>
      </c>
      <c r="P34" s="217">
        <f t="shared" si="3"/>
        <v>0.42424242424242425</v>
      </c>
      <c r="Q34" s="202">
        <f>IFERROR(VLOOKUP($B34,MMWR_TRAD_AGG_RO_COMP[],Q$1,0),"ERROR")</f>
        <v>0</v>
      </c>
      <c r="R34" s="202">
        <f>IFERROR(VLOOKUP($B34,MMWR_TRAD_AGG_RO_COMP[],R$1,0),"ERROR")</f>
        <v>0</v>
      </c>
      <c r="S34" s="202">
        <f>IFERROR(VLOOKUP($B34,MMWR_APP_RO[],S$1,0),"ERROR")</f>
        <v>226</v>
      </c>
      <c r="T34" s="25"/>
    </row>
    <row r="35" spans="1:20" x14ac:dyDescent="0.2">
      <c r="A35" s="107"/>
      <c r="B35" s="108" t="s">
        <v>78</v>
      </c>
      <c r="C35" s="210">
        <f>IFERROR(VLOOKUP($B35,MMWR_TRAD_AGG_RO_COMP[],C$1,0),"ERROR")</f>
        <v>4893</v>
      </c>
      <c r="D35" s="199">
        <f>IFERROR(VLOOKUP($B35,MMWR_TRAD_AGG_RO_COMP[],D$1,0),"ERROR")</f>
        <v>258.9172286941</v>
      </c>
      <c r="E35" s="196">
        <f>IFERROR(VLOOKUP($B35,MMWR_TRAD_AGG_RO_COMP[],E$1,0),"ERROR")</f>
        <v>6079</v>
      </c>
      <c r="F35" s="192">
        <f>IFERROR(VLOOKUP($B35,MMWR_TRAD_AGG_RO_COMP[],F$1,0),"ERROR")</f>
        <v>892</v>
      </c>
      <c r="G35" s="217">
        <f t="shared" si="0"/>
        <v>0.14673466030597138</v>
      </c>
      <c r="H35" s="191">
        <f>IFERROR(VLOOKUP($B35,MMWR_TRAD_AGG_RO_COMP[],H$1,0),"ERROR")</f>
        <v>6896</v>
      </c>
      <c r="I35" s="192">
        <f>IFERROR(VLOOKUP($B35,MMWR_TRAD_AGG_RO_COMP[],I$1,0),"ERROR")</f>
        <v>4437</v>
      </c>
      <c r="J35" s="217">
        <f t="shared" si="1"/>
        <v>0.64341647331786544</v>
      </c>
      <c r="K35" s="205">
        <f>IFERROR(VLOOKUP($B35,MMWR_TRAD_AGG_RO_COMP[],K$1,0),"ERROR")</f>
        <v>2629</v>
      </c>
      <c r="L35" s="206">
        <f>IFERROR(VLOOKUP($B35,MMWR_TRAD_AGG_RO_COMP[],L$1,0),"ERROR")</f>
        <v>2047</v>
      </c>
      <c r="M35" s="217">
        <f t="shared" si="2"/>
        <v>0.77862305058957781</v>
      </c>
      <c r="N35" s="205">
        <f>IFERROR(VLOOKUP($B35,MMWR_TRAD_AGG_RO_COMP[],N$1,0),"ERROR")</f>
        <v>5472</v>
      </c>
      <c r="O35" s="206">
        <f>IFERROR(VLOOKUP($B35,MMWR_TRAD_AGG_RO_COMP[],O$1,0),"ERROR")</f>
        <v>4738</v>
      </c>
      <c r="P35" s="217">
        <f t="shared" si="3"/>
        <v>0.86586257309941517</v>
      </c>
      <c r="Q35" s="202">
        <f>IFERROR(VLOOKUP($B35,MMWR_TRAD_AGG_RO_COMP[],Q$1,0),"ERROR")</f>
        <v>0</v>
      </c>
      <c r="R35" s="202">
        <f>IFERROR(VLOOKUP($B35,MMWR_TRAD_AGG_RO_COMP[],R$1,0),"ERROR")</f>
        <v>62</v>
      </c>
      <c r="S35" s="202">
        <f>IFERROR(VLOOKUP($B35,MMWR_APP_RO[],S$1,0),"ERROR")</f>
        <v>6446</v>
      </c>
      <c r="T35" s="25"/>
    </row>
    <row r="36" spans="1:20" x14ac:dyDescent="0.2">
      <c r="A36" s="28"/>
      <c r="B36" s="108" t="s">
        <v>79</v>
      </c>
      <c r="C36" s="220">
        <f>IFERROR(VLOOKUP($B36,MMWR_TRAD_AGG_RO_COMP[],C$1,0),"ERROR")</f>
        <v>2375</v>
      </c>
      <c r="D36" s="221">
        <f>IFERROR(VLOOKUP($B36,MMWR_TRAD_AGG_RO_COMP[],D$1,0),"ERROR")</f>
        <v>149.62947368420001</v>
      </c>
      <c r="E36" s="222">
        <f>IFERROR(VLOOKUP($B36,MMWR_TRAD_AGG_RO_COMP[],E$1,0),"ERROR")</f>
        <v>9257</v>
      </c>
      <c r="F36" s="223">
        <f>IFERROR(VLOOKUP($B36,MMWR_TRAD_AGG_RO_COMP[],F$1,0),"ERROR")</f>
        <v>1619</v>
      </c>
      <c r="G36" s="224">
        <f t="shared" si="0"/>
        <v>0.17489467430052932</v>
      </c>
      <c r="H36" s="225">
        <f>IFERROR(VLOOKUP($B36,MMWR_TRAD_AGG_RO_COMP[],H$1,0),"ERROR")</f>
        <v>11797</v>
      </c>
      <c r="I36" s="223">
        <f>IFERROR(VLOOKUP($B36,MMWR_TRAD_AGG_RO_COMP[],I$1,0),"ERROR")</f>
        <v>2915</v>
      </c>
      <c r="J36" s="224">
        <f t="shared" si="1"/>
        <v>0.2470967195049589</v>
      </c>
      <c r="K36" s="226">
        <f>IFERROR(VLOOKUP($B36,MMWR_TRAD_AGG_RO_COMP[],K$1,0),"ERROR")</f>
        <v>1566</v>
      </c>
      <c r="L36" s="227">
        <f>IFERROR(VLOOKUP($B36,MMWR_TRAD_AGG_RO_COMP[],L$1,0),"ERROR")</f>
        <v>357</v>
      </c>
      <c r="M36" s="224">
        <f t="shared" si="2"/>
        <v>0.22796934865900384</v>
      </c>
      <c r="N36" s="226">
        <f>IFERROR(VLOOKUP($B36,MMWR_TRAD_AGG_RO_COMP[],N$1,0),"ERROR")</f>
        <v>1067</v>
      </c>
      <c r="O36" s="227">
        <f>IFERROR(VLOOKUP($B36,MMWR_TRAD_AGG_RO_COMP[],O$1,0),"ERROR")</f>
        <v>645</v>
      </c>
      <c r="P36" s="224">
        <f t="shared" si="3"/>
        <v>0.60449859418931584</v>
      </c>
      <c r="Q36" s="228">
        <f>IFERROR(VLOOKUP($B36,MMWR_TRAD_AGG_RO_COMP[],Q$1,0),"ERROR")</f>
        <v>32</v>
      </c>
      <c r="R36" s="228">
        <f>IFERROR(VLOOKUP($B36,MMWR_TRAD_AGG_RO_COMP[],R$1,0),"ERROR")</f>
        <v>0</v>
      </c>
      <c r="S36" s="202">
        <f>IFERROR(VLOOKUP($B36,MMWR_APP_RO[],S$1,0),"ERROR")</f>
        <v>1801</v>
      </c>
      <c r="T36" s="28"/>
    </row>
    <row r="37" spans="1:20" x14ac:dyDescent="0.2">
      <c r="A37" s="28"/>
      <c r="B37" s="116" t="s">
        <v>84</v>
      </c>
      <c r="C37" s="229">
        <f>IFERROR(VLOOKUP($B37,MMWR_TRAD_AGG_RO_COMP[],C$1,0),"ERROR")</f>
        <v>1630</v>
      </c>
      <c r="D37" s="230">
        <f>IFERROR(VLOOKUP($B37,MMWR_TRAD_AGG_RO_COMP[],D$1,0),"ERROR")</f>
        <v>172.5122699387</v>
      </c>
      <c r="E37" s="231">
        <f>IFERROR(VLOOKUP($B37,MMWR_TRAD_AGG_RO_COMP[],E$1,0),"ERROR")</f>
        <v>2879</v>
      </c>
      <c r="F37" s="232">
        <f>IFERROR(VLOOKUP($B37,MMWR_TRAD_AGG_RO_COMP[],F$1,0),"ERROR")</f>
        <v>500</v>
      </c>
      <c r="G37" s="233">
        <f t="shared" si="0"/>
        <v>0.17367141368530739</v>
      </c>
      <c r="H37" s="234">
        <f>IFERROR(VLOOKUP($B37,MMWR_TRAD_AGG_RO_COMP[],H$1,0),"ERROR")</f>
        <v>2385</v>
      </c>
      <c r="I37" s="232">
        <f>IFERROR(VLOOKUP($B37,MMWR_TRAD_AGG_RO_COMP[],I$1,0),"ERROR")</f>
        <v>1110</v>
      </c>
      <c r="J37" s="233">
        <f t="shared" si="1"/>
        <v>0.46540880503144655</v>
      </c>
      <c r="K37" s="235">
        <f>IFERROR(VLOOKUP($B37,MMWR_TRAD_AGG_RO_COMP[],K$1,0),"ERROR")</f>
        <v>1102</v>
      </c>
      <c r="L37" s="236">
        <f>IFERROR(VLOOKUP($B37,MMWR_TRAD_AGG_RO_COMP[],L$1,0),"ERROR")</f>
        <v>398</v>
      </c>
      <c r="M37" s="233">
        <f t="shared" si="2"/>
        <v>0.36116152450090744</v>
      </c>
      <c r="N37" s="235">
        <f>IFERROR(VLOOKUP($B37,MMWR_TRAD_AGG_RO_COMP[],N$1,0),"ERROR")</f>
        <v>225</v>
      </c>
      <c r="O37" s="236">
        <f>IFERROR(VLOOKUP($B37,MMWR_TRAD_AGG_RO_COMP[],O$1,0),"ERROR")</f>
        <v>96</v>
      </c>
      <c r="P37" s="233">
        <f t="shared" si="3"/>
        <v>0.42666666666666669</v>
      </c>
      <c r="Q37" s="237">
        <f>IFERROR(VLOOKUP($B37,MMWR_TRAD_AGG_RO_COMP[],Q$1,0),"ERROR")</f>
        <v>0</v>
      </c>
      <c r="R37" s="237">
        <f>IFERROR(VLOOKUP($B37,MMWR_TRAD_AGG_RO_COMP[],R$1,0),"ERROR")</f>
        <v>9</v>
      </c>
      <c r="S37" s="202">
        <f>IFERROR(VLOOKUP($B37,MMWR_APP_RO[],S$1,0),"ERROR")</f>
        <v>1209</v>
      </c>
      <c r="T37" s="28"/>
    </row>
    <row r="38" spans="1:20" x14ac:dyDescent="0.2">
      <c r="A38" s="28"/>
      <c r="B38" s="101" t="s">
        <v>385</v>
      </c>
      <c r="C38" s="213">
        <f>IFERROR(VLOOKUP($B38,MMWR_TRAD_AGG_DISTRICT_COMP[],C$1,0),"ERROR")</f>
        <v>55406</v>
      </c>
      <c r="D38" s="198">
        <f>IFERROR(VLOOKUP($B38,MMWR_TRAD_AGG_DISTRICT_COMP[],D$1,0),"ERROR")</f>
        <v>336.36496047359998</v>
      </c>
      <c r="E38" s="214">
        <f>IFERROR(VLOOKUP($B38,MMWR_TRAD_AGG_DISTRICT_COMP[],E$1,0),"ERROR")</f>
        <v>64826</v>
      </c>
      <c r="F38" s="219">
        <f>IFERROR(VLOOKUP($B38,MMWR_TRAD_AGG_DISTRICT_COMP[],F$1,0),"ERROR")</f>
        <v>14016</v>
      </c>
      <c r="G38" s="215">
        <f t="shared" si="0"/>
        <v>0.21620954555271032</v>
      </c>
      <c r="H38" s="219">
        <f>IFERROR(VLOOKUP($B38,MMWR_TRAD_AGG_DISTRICT_COMP[],H$1,0),"ERROR")</f>
        <v>87912</v>
      </c>
      <c r="I38" s="219">
        <f>IFERROR(VLOOKUP($B38,MMWR_TRAD_AGG_DISTRICT_COMP[],I$1,0),"ERROR")</f>
        <v>52119</v>
      </c>
      <c r="J38" s="215">
        <f t="shared" si="1"/>
        <v>0.59285421785421788</v>
      </c>
      <c r="K38" s="213">
        <f>IFERROR(VLOOKUP($B38,MMWR_TRAD_AGG_DISTRICT_COMP[],K$1,0),"ERROR")</f>
        <v>23825</v>
      </c>
      <c r="L38" s="213">
        <f>IFERROR(VLOOKUP($B38,MMWR_TRAD_AGG_DISTRICT_COMP[],L$1,0),"ERROR")</f>
        <v>14589</v>
      </c>
      <c r="M38" s="215">
        <f t="shared" si="2"/>
        <v>0.61233997901364112</v>
      </c>
      <c r="N38" s="213">
        <f>IFERROR(VLOOKUP($B38,MMWR_TRAD_AGG_DISTRICT_COMP[],N$1,0),"ERROR")</f>
        <v>12706</v>
      </c>
      <c r="O38" s="213">
        <f>IFERROR(VLOOKUP($B38,MMWR_TRAD_AGG_DISTRICT_COMP[],O$1,0),"ERROR")</f>
        <v>7932</v>
      </c>
      <c r="P38" s="215">
        <f t="shared" si="3"/>
        <v>0.62427199748150475</v>
      </c>
      <c r="Q38" s="213">
        <f>IFERROR(VLOOKUP($B38,MMWR_TRAD_AGG_DISTRICT_COMP[],Q$1,0),"ERROR")</f>
        <v>46</v>
      </c>
      <c r="R38" s="216">
        <f>IFERROR(VLOOKUP($B38,MMWR_TRAD_AGG_DISTRICT_COMP[],R$1,0),"ERROR")</f>
        <v>1113</v>
      </c>
      <c r="S38" s="216">
        <f>IFERROR(VLOOKUP($B38,MMWR_APP_RO[],S$1,0),"ERROR")</f>
        <v>66871</v>
      </c>
      <c r="T38" s="28"/>
    </row>
    <row r="39" spans="1:20" x14ac:dyDescent="0.2">
      <c r="A39" s="28"/>
      <c r="B39" s="108" t="s">
        <v>39</v>
      </c>
      <c r="C39" s="220">
        <f>IFERROR(VLOOKUP($B39,MMWR_TRAD_AGG_RO_COMP[],C$1,0),"ERROR")</f>
        <v>423</v>
      </c>
      <c r="D39" s="221">
        <f>IFERROR(VLOOKUP($B39,MMWR_TRAD_AGG_RO_COMP[],D$1,0),"ERROR")</f>
        <v>267.72576832150003</v>
      </c>
      <c r="E39" s="222">
        <f>IFERROR(VLOOKUP($B39,MMWR_TRAD_AGG_RO_COMP[],E$1,0),"ERROR")</f>
        <v>825</v>
      </c>
      <c r="F39" s="223">
        <f>IFERROR(VLOOKUP($B39,MMWR_TRAD_AGG_RO_COMP[],F$1,0),"ERROR")</f>
        <v>114</v>
      </c>
      <c r="G39" s="224">
        <f t="shared" si="0"/>
        <v>0.13818181818181818</v>
      </c>
      <c r="H39" s="225">
        <f>IFERROR(VLOOKUP($B39,MMWR_TRAD_AGG_RO_COMP[],H$1,0),"ERROR")</f>
        <v>664</v>
      </c>
      <c r="I39" s="223">
        <f>IFERROR(VLOOKUP($B39,MMWR_TRAD_AGG_RO_COMP[],I$1,0),"ERROR")</f>
        <v>329</v>
      </c>
      <c r="J39" s="224">
        <f t="shared" si="1"/>
        <v>0.49548192771084337</v>
      </c>
      <c r="K39" s="226">
        <f>IFERROR(VLOOKUP($B39,MMWR_TRAD_AGG_RO_COMP[],K$1,0),"ERROR")</f>
        <v>145</v>
      </c>
      <c r="L39" s="227">
        <f>IFERROR(VLOOKUP($B39,MMWR_TRAD_AGG_RO_COMP[],L$1,0),"ERROR")</f>
        <v>58</v>
      </c>
      <c r="M39" s="224">
        <f t="shared" si="2"/>
        <v>0.4</v>
      </c>
      <c r="N39" s="226">
        <f>IFERROR(VLOOKUP($B39,MMWR_TRAD_AGG_RO_COMP[],N$1,0),"ERROR")</f>
        <v>102</v>
      </c>
      <c r="O39" s="227">
        <f>IFERROR(VLOOKUP($B39,MMWR_TRAD_AGG_RO_COMP[],O$1,0),"ERROR")</f>
        <v>29</v>
      </c>
      <c r="P39" s="224">
        <f t="shared" si="3"/>
        <v>0.28431372549019607</v>
      </c>
      <c r="Q39" s="228">
        <f>IFERROR(VLOOKUP($B39,MMWR_TRAD_AGG_RO_COMP[],Q$1,0),"ERROR")</f>
        <v>2</v>
      </c>
      <c r="R39" s="228">
        <f>IFERROR(VLOOKUP($B39,MMWR_TRAD_AGG_RO_COMP[],R$1,0),"ERROR")</f>
        <v>4</v>
      </c>
      <c r="S39" s="202">
        <f>IFERROR(VLOOKUP($B39,MMWR_APP_RO[],S$1,0),"ERROR")</f>
        <v>297</v>
      </c>
      <c r="T39" s="28"/>
    </row>
    <row r="40" spans="1:20" x14ac:dyDescent="0.2">
      <c r="A40" s="28"/>
      <c r="B40" s="108" t="s">
        <v>43</v>
      </c>
      <c r="C40" s="220">
        <f>IFERROR(VLOOKUP($B40,MMWR_TRAD_AGG_RO_COMP[],C$1,0),"ERROR")</f>
        <v>5883</v>
      </c>
      <c r="D40" s="221">
        <f>IFERROR(VLOOKUP($B40,MMWR_TRAD_AGG_RO_COMP[],D$1,0),"ERROR")</f>
        <v>385.77698453170001</v>
      </c>
      <c r="E40" s="222">
        <f>IFERROR(VLOOKUP($B40,MMWR_TRAD_AGG_RO_COMP[],E$1,0),"ERROR")</f>
        <v>8275</v>
      </c>
      <c r="F40" s="223">
        <f>IFERROR(VLOOKUP($B40,MMWR_TRAD_AGG_RO_COMP[],F$1,0),"ERROR")</f>
        <v>2412</v>
      </c>
      <c r="G40" s="224">
        <f t="shared" si="0"/>
        <v>0.29148036253776433</v>
      </c>
      <c r="H40" s="225">
        <f>IFERROR(VLOOKUP($B40,MMWR_TRAD_AGG_RO_COMP[],H$1,0),"ERROR")</f>
        <v>8286</v>
      </c>
      <c r="I40" s="223">
        <f>IFERROR(VLOOKUP($B40,MMWR_TRAD_AGG_RO_COMP[],I$1,0),"ERROR")</f>
        <v>5667</v>
      </c>
      <c r="J40" s="224">
        <f t="shared" si="1"/>
        <v>0.68392469225199126</v>
      </c>
      <c r="K40" s="226">
        <f>IFERROR(VLOOKUP($B40,MMWR_TRAD_AGG_RO_COMP[],K$1,0),"ERROR")</f>
        <v>3394</v>
      </c>
      <c r="L40" s="227">
        <f>IFERROR(VLOOKUP($B40,MMWR_TRAD_AGG_RO_COMP[],L$1,0),"ERROR")</f>
        <v>2409</v>
      </c>
      <c r="M40" s="224">
        <f t="shared" si="2"/>
        <v>0.70978196817913963</v>
      </c>
      <c r="N40" s="226">
        <f>IFERROR(VLOOKUP($B40,MMWR_TRAD_AGG_RO_COMP[],N$1,0),"ERROR")</f>
        <v>818</v>
      </c>
      <c r="O40" s="227">
        <f>IFERROR(VLOOKUP($B40,MMWR_TRAD_AGG_RO_COMP[],O$1,0),"ERROR")</f>
        <v>375</v>
      </c>
      <c r="P40" s="224">
        <f t="shared" si="3"/>
        <v>0.45843520782396086</v>
      </c>
      <c r="Q40" s="228">
        <f>IFERROR(VLOOKUP($B40,MMWR_TRAD_AGG_RO_COMP[],Q$1,0),"ERROR")</f>
        <v>0</v>
      </c>
      <c r="R40" s="228">
        <f>IFERROR(VLOOKUP($B40,MMWR_TRAD_AGG_RO_COMP[],R$1,0),"ERROR")</f>
        <v>58</v>
      </c>
      <c r="S40" s="202">
        <f>IFERROR(VLOOKUP($B40,MMWR_APP_RO[],S$1,0),"ERROR")</f>
        <v>6199</v>
      </c>
      <c r="T40" s="28"/>
    </row>
    <row r="41" spans="1:20" x14ac:dyDescent="0.2">
      <c r="A41" s="28"/>
      <c r="B41" s="108" t="s">
        <v>184</v>
      </c>
      <c r="C41" s="220">
        <f>IFERROR(VLOOKUP($B41,MMWR_TRAD_AGG_RO_COMP[],C$1,0),"ERROR")</f>
        <v>633</v>
      </c>
      <c r="D41" s="221">
        <f>IFERROR(VLOOKUP($B41,MMWR_TRAD_AGG_RO_COMP[],D$1,0),"ERROR")</f>
        <v>178.14691943130001</v>
      </c>
      <c r="E41" s="222">
        <f>IFERROR(VLOOKUP($B41,MMWR_TRAD_AGG_RO_COMP[],E$1,0),"ERROR")</f>
        <v>662</v>
      </c>
      <c r="F41" s="223">
        <f>IFERROR(VLOOKUP($B41,MMWR_TRAD_AGG_RO_COMP[],F$1,0),"ERROR")</f>
        <v>58</v>
      </c>
      <c r="G41" s="224">
        <f t="shared" si="0"/>
        <v>8.7613293051359523E-2</v>
      </c>
      <c r="H41" s="225">
        <f>IFERROR(VLOOKUP($B41,MMWR_TRAD_AGG_RO_COMP[],H$1,0),"ERROR")</f>
        <v>852</v>
      </c>
      <c r="I41" s="223">
        <f>IFERROR(VLOOKUP($B41,MMWR_TRAD_AGG_RO_COMP[],I$1,0),"ERROR")</f>
        <v>348</v>
      </c>
      <c r="J41" s="224">
        <f t="shared" si="1"/>
        <v>0.40845070422535212</v>
      </c>
      <c r="K41" s="226">
        <f>IFERROR(VLOOKUP($B41,MMWR_TRAD_AGG_RO_COMP[],K$1,0),"ERROR")</f>
        <v>504</v>
      </c>
      <c r="L41" s="227">
        <f>IFERROR(VLOOKUP($B41,MMWR_TRAD_AGG_RO_COMP[],L$1,0),"ERROR")</f>
        <v>168</v>
      </c>
      <c r="M41" s="224">
        <f t="shared" si="2"/>
        <v>0.33333333333333331</v>
      </c>
      <c r="N41" s="226">
        <f>IFERROR(VLOOKUP($B41,MMWR_TRAD_AGG_RO_COMP[],N$1,0),"ERROR")</f>
        <v>126</v>
      </c>
      <c r="O41" s="227">
        <f>IFERROR(VLOOKUP($B41,MMWR_TRAD_AGG_RO_COMP[],O$1,0),"ERROR")</f>
        <v>47</v>
      </c>
      <c r="P41" s="224">
        <f t="shared" si="3"/>
        <v>0.37301587301587302</v>
      </c>
      <c r="Q41" s="228">
        <f>IFERROR(VLOOKUP($B41,MMWR_TRAD_AGG_RO_COMP[],Q$1,0),"ERROR")</f>
        <v>0</v>
      </c>
      <c r="R41" s="228">
        <f>IFERROR(VLOOKUP($B41,MMWR_TRAD_AGG_RO_COMP[],R$1,0),"ERROR")</f>
        <v>2</v>
      </c>
      <c r="S41" s="202">
        <f>IFERROR(VLOOKUP($B41,MMWR_APP_RO[],S$1,0),"ERROR")</f>
        <v>324</v>
      </c>
      <c r="T41" s="28"/>
    </row>
    <row r="42" spans="1:20" x14ac:dyDescent="0.2">
      <c r="A42" s="28"/>
      <c r="B42" s="108" t="s">
        <v>49</v>
      </c>
      <c r="C42" s="220">
        <f>IFERROR(VLOOKUP($B42,MMWR_TRAD_AGG_RO_COMP[],C$1,0),"ERROR")</f>
        <v>12828</v>
      </c>
      <c r="D42" s="221">
        <f>IFERROR(VLOOKUP($B42,MMWR_TRAD_AGG_RO_COMP[],D$1,0),"ERROR")</f>
        <v>346.60921421889998</v>
      </c>
      <c r="E42" s="222">
        <f>IFERROR(VLOOKUP($B42,MMWR_TRAD_AGG_RO_COMP[],E$1,0),"ERROR")</f>
        <v>15468</v>
      </c>
      <c r="F42" s="223">
        <f>IFERROR(VLOOKUP($B42,MMWR_TRAD_AGG_RO_COMP[],F$1,0),"ERROR")</f>
        <v>3940</v>
      </c>
      <c r="G42" s="224">
        <f t="shared" si="0"/>
        <v>0.25471942073959142</v>
      </c>
      <c r="H42" s="225">
        <f>IFERROR(VLOOKUP($B42,MMWR_TRAD_AGG_RO_COMP[],H$1,0),"ERROR")</f>
        <v>16488</v>
      </c>
      <c r="I42" s="223">
        <f>IFERROR(VLOOKUP($B42,MMWR_TRAD_AGG_RO_COMP[],I$1,0),"ERROR")</f>
        <v>11647</v>
      </c>
      <c r="J42" s="224">
        <f t="shared" si="1"/>
        <v>0.70639252789907814</v>
      </c>
      <c r="K42" s="226">
        <f>IFERROR(VLOOKUP($B42,MMWR_TRAD_AGG_RO_COMP[],K$1,0),"ERROR")</f>
        <v>3158</v>
      </c>
      <c r="L42" s="227">
        <f>IFERROR(VLOOKUP($B42,MMWR_TRAD_AGG_RO_COMP[],L$1,0),"ERROR")</f>
        <v>1787</v>
      </c>
      <c r="M42" s="224">
        <f t="shared" si="2"/>
        <v>0.56586447118429384</v>
      </c>
      <c r="N42" s="226">
        <f>IFERROR(VLOOKUP($B42,MMWR_TRAD_AGG_RO_COMP[],N$1,0),"ERROR")</f>
        <v>2898</v>
      </c>
      <c r="O42" s="227">
        <f>IFERROR(VLOOKUP($B42,MMWR_TRAD_AGG_RO_COMP[],O$1,0),"ERROR")</f>
        <v>2303</v>
      </c>
      <c r="P42" s="224">
        <f t="shared" si="3"/>
        <v>0.79468599033816423</v>
      </c>
      <c r="Q42" s="228">
        <f>IFERROR(VLOOKUP($B42,MMWR_TRAD_AGG_RO_COMP[],Q$1,0),"ERROR")</f>
        <v>1</v>
      </c>
      <c r="R42" s="228">
        <f>IFERROR(VLOOKUP($B42,MMWR_TRAD_AGG_RO_COMP[],R$1,0),"ERROR")</f>
        <v>223</v>
      </c>
      <c r="S42" s="202">
        <f>IFERROR(VLOOKUP($B42,MMWR_APP_RO[],S$1,0),"ERROR")</f>
        <v>19977</v>
      </c>
      <c r="T42" s="28"/>
    </row>
    <row r="43" spans="1:20" x14ac:dyDescent="0.2">
      <c r="A43" s="28"/>
      <c r="B43" s="108" t="s">
        <v>52</v>
      </c>
      <c r="C43" s="220">
        <f>IFERROR(VLOOKUP($B43,MMWR_TRAD_AGG_RO_COMP[],C$1,0),"ERROR")</f>
        <v>4282</v>
      </c>
      <c r="D43" s="221">
        <f>IFERROR(VLOOKUP($B43,MMWR_TRAD_AGG_RO_COMP[],D$1,0),"ERROR")</f>
        <v>395.98411957029998</v>
      </c>
      <c r="E43" s="222">
        <f>IFERROR(VLOOKUP($B43,MMWR_TRAD_AGG_RO_COMP[],E$1,0),"ERROR")</f>
        <v>4134</v>
      </c>
      <c r="F43" s="223">
        <f>IFERROR(VLOOKUP($B43,MMWR_TRAD_AGG_RO_COMP[],F$1,0),"ERROR")</f>
        <v>1134</v>
      </c>
      <c r="G43" s="224">
        <f t="shared" si="0"/>
        <v>0.27431059506531202</v>
      </c>
      <c r="H43" s="225">
        <f>IFERROR(VLOOKUP($B43,MMWR_TRAD_AGG_RO_COMP[],H$1,0),"ERROR")</f>
        <v>6521</v>
      </c>
      <c r="I43" s="223">
        <f>IFERROR(VLOOKUP($B43,MMWR_TRAD_AGG_RO_COMP[],I$1,0),"ERROR")</f>
        <v>4454</v>
      </c>
      <c r="J43" s="224">
        <f t="shared" si="1"/>
        <v>0.6830240760619537</v>
      </c>
      <c r="K43" s="226">
        <f>IFERROR(VLOOKUP($B43,MMWR_TRAD_AGG_RO_COMP[],K$1,0),"ERROR")</f>
        <v>2126</v>
      </c>
      <c r="L43" s="227">
        <f>IFERROR(VLOOKUP($B43,MMWR_TRAD_AGG_RO_COMP[],L$1,0),"ERROR")</f>
        <v>1662</v>
      </c>
      <c r="M43" s="224">
        <f t="shared" si="2"/>
        <v>0.78174976481655689</v>
      </c>
      <c r="N43" s="226">
        <f>IFERROR(VLOOKUP($B43,MMWR_TRAD_AGG_RO_COMP[],N$1,0),"ERROR")</f>
        <v>2113</v>
      </c>
      <c r="O43" s="227">
        <f>IFERROR(VLOOKUP($B43,MMWR_TRAD_AGG_RO_COMP[],O$1,0),"ERROR")</f>
        <v>1761</v>
      </c>
      <c r="P43" s="224">
        <f t="shared" si="3"/>
        <v>0.83341221012778044</v>
      </c>
      <c r="Q43" s="228">
        <f>IFERROR(VLOOKUP($B43,MMWR_TRAD_AGG_RO_COMP[],Q$1,0),"ERROR")</f>
        <v>39</v>
      </c>
      <c r="R43" s="228">
        <f>IFERROR(VLOOKUP($B43,MMWR_TRAD_AGG_RO_COMP[],R$1,0),"ERROR")</f>
        <v>180</v>
      </c>
      <c r="S43" s="202">
        <f>IFERROR(VLOOKUP($B43,MMWR_APP_RO[],S$1,0),"ERROR")</f>
        <v>4580</v>
      </c>
      <c r="T43" s="28"/>
    </row>
    <row r="44" spans="1:20" x14ac:dyDescent="0.2">
      <c r="A44" s="28"/>
      <c r="B44" s="108" t="s">
        <v>54</v>
      </c>
      <c r="C44" s="220">
        <f>IFERROR(VLOOKUP($B44,MMWR_TRAD_AGG_RO_COMP[],C$1,0),"ERROR")</f>
        <v>5029</v>
      </c>
      <c r="D44" s="221">
        <f>IFERROR(VLOOKUP($B44,MMWR_TRAD_AGG_RO_COMP[],D$1,0),"ERROR")</f>
        <v>361.44322927019999</v>
      </c>
      <c r="E44" s="222">
        <f>IFERROR(VLOOKUP($B44,MMWR_TRAD_AGG_RO_COMP[],E$1,0),"ERROR")</f>
        <v>3438</v>
      </c>
      <c r="F44" s="223">
        <f>IFERROR(VLOOKUP($B44,MMWR_TRAD_AGG_RO_COMP[],F$1,0),"ERROR")</f>
        <v>555</v>
      </c>
      <c r="G44" s="224">
        <f t="shared" si="0"/>
        <v>0.16143106457242584</v>
      </c>
      <c r="H44" s="225">
        <f>IFERROR(VLOOKUP($B44,MMWR_TRAD_AGG_RO_COMP[],H$1,0),"ERROR")</f>
        <v>9119</v>
      </c>
      <c r="I44" s="223">
        <f>IFERROR(VLOOKUP($B44,MMWR_TRAD_AGG_RO_COMP[],I$1,0),"ERROR")</f>
        <v>4630</v>
      </c>
      <c r="J44" s="224">
        <f t="shared" si="1"/>
        <v>0.50773111086741962</v>
      </c>
      <c r="K44" s="226">
        <f>IFERROR(VLOOKUP($B44,MMWR_TRAD_AGG_RO_COMP[],K$1,0),"ERROR")</f>
        <v>4476</v>
      </c>
      <c r="L44" s="227">
        <f>IFERROR(VLOOKUP($B44,MMWR_TRAD_AGG_RO_COMP[],L$1,0),"ERROR")</f>
        <v>3891</v>
      </c>
      <c r="M44" s="224">
        <f t="shared" si="2"/>
        <v>0.86930294906166217</v>
      </c>
      <c r="N44" s="226">
        <f>IFERROR(VLOOKUP($B44,MMWR_TRAD_AGG_RO_COMP[],N$1,0),"ERROR")</f>
        <v>1106</v>
      </c>
      <c r="O44" s="227">
        <f>IFERROR(VLOOKUP($B44,MMWR_TRAD_AGG_RO_COMP[],O$1,0),"ERROR")</f>
        <v>533</v>
      </c>
      <c r="P44" s="224">
        <f t="shared" si="3"/>
        <v>0.48191681735985531</v>
      </c>
      <c r="Q44" s="228">
        <f>IFERROR(VLOOKUP($B44,MMWR_TRAD_AGG_RO_COMP[],Q$1,0),"ERROR")</f>
        <v>1</v>
      </c>
      <c r="R44" s="228">
        <f>IFERROR(VLOOKUP($B44,MMWR_TRAD_AGG_RO_COMP[],R$1,0),"ERROR")</f>
        <v>137</v>
      </c>
      <c r="S44" s="202">
        <f>IFERROR(VLOOKUP($B44,MMWR_APP_RO[],S$1,0),"ERROR")</f>
        <v>5234</v>
      </c>
      <c r="T44" s="28"/>
    </row>
    <row r="45" spans="1:20" x14ac:dyDescent="0.2">
      <c r="A45" s="28"/>
      <c r="B45" s="108" t="s">
        <v>27</v>
      </c>
      <c r="C45" s="220">
        <f>IFERROR(VLOOKUP($B45,MMWR_TRAD_AGG_RO_COMP[],C$1,0),"ERROR")</f>
        <v>1420</v>
      </c>
      <c r="D45" s="221">
        <f>IFERROR(VLOOKUP($B45,MMWR_TRAD_AGG_RO_COMP[],D$1,0),"ERROR")</f>
        <v>92.350704225399994</v>
      </c>
      <c r="E45" s="222">
        <f>IFERROR(VLOOKUP($B45,MMWR_TRAD_AGG_RO_COMP[],E$1,0),"ERROR")</f>
        <v>6039</v>
      </c>
      <c r="F45" s="223">
        <f>IFERROR(VLOOKUP($B45,MMWR_TRAD_AGG_RO_COMP[],F$1,0),"ERROR")</f>
        <v>954</v>
      </c>
      <c r="G45" s="224">
        <f t="shared" si="0"/>
        <v>0.15797317436661698</v>
      </c>
      <c r="H45" s="225">
        <f>IFERROR(VLOOKUP($B45,MMWR_TRAD_AGG_RO_COMP[],H$1,0),"ERROR")</f>
        <v>8356</v>
      </c>
      <c r="I45" s="223">
        <f>IFERROR(VLOOKUP($B45,MMWR_TRAD_AGG_RO_COMP[],I$1,0),"ERROR")</f>
        <v>3078</v>
      </c>
      <c r="J45" s="224">
        <f t="shared" si="1"/>
        <v>0.36835806606031596</v>
      </c>
      <c r="K45" s="226">
        <f>IFERROR(VLOOKUP($B45,MMWR_TRAD_AGG_RO_COMP[],K$1,0),"ERROR")</f>
        <v>1742</v>
      </c>
      <c r="L45" s="227">
        <f>IFERROR(VLOOKUP($B45,MMWR_TRAD_AGG_RO_COMP[],L$1,0),"ERROR")</f>
        <v>722</v>
      </c>
      <c r="M45" s="224">
        <f t="shared" si="2"/>
        <v>0.41446613088404133</v>
      </c>
      <c r="N45" s="226">
        <f>IFERROR(VLOOKUP($B45,MMWR_TRAD_AGG_RO_COMP[],N$1,0),"ERROR")</f>
        <v>1063</v>
      </c>
      <c r="O45" s="227">
        <f>IFERROR(VLOOKUP($B45,MMWR_TRAD_AGG_RO_COMP[],O$1,0),"ERROR")</f>
        <v>510</v>
      </c>
      <c r="P45" s="224">
        <f t="shared" si="3"/>
        <v>0.47977422389463781</v>
      </c>
      <c r="Q45" s="228">
        <f>IFERROR(VLOOKUP($B45,MMWR_TRAD_AGG_RO_COMP[],Q$1,0),"ERROR")</f>
        <v>0</v>
      </c>
      <c r="R45" s="228">
        <f>IFERROR(VLOOKUP($B45,MMWR_TRAD_AGG_RO_COMP[],R$1,0),"ERROR")</f>
        <v>60</v>
      </c>
      <c r="S45" s="202">
        <f>IFERROR(VLOOKUP($B45,MMWR_APP_RO[],S$1,0),"ERROR")</f>
        <v>4355</v>
      </c>
      <c r="T45" s="28"/>
    </row>
    <row r="46" spans="1:20" x14ac:dyDescent="0.2">
      <c r="A46" s="28"/>
      <c r="B46" s="108" t="s">
        <v>62</v>
      </c>
      <c r="C46" s="220">
        <f>IFERROR(VLOOKUP($B46,MMWR_TRAD_AGG_RO_COMP[],C$1,0),"ERROR")</f>
        <v>4829</v>
      </c>
      <c r="D46" s="221">
        <f>IFERROR(VLOOKUP($B46,MMWR_TRAD_AGG_RO_COMP[],D$1,0),"ERROR")</f>
        <v>445.76475460760003</v>
      </c>
      <c r="E46" s="222">
        <f>IFERROR(VLOOKUP($B46,MMWR_TRAD_AGG_RO_COMP[],E$1,0),"ERROR")</f>
        <v>5690</v>
      </c>
      <c r="F46" s="223">
        <f>IFERROR(VLOOKUP($B46,MMWR_TRAD_AGG_RO_COMP[],F$1,0),"ERROR")</f>
        <v>1030</v>
      </c>
      <c r="G46" s="224">
        <f t="shared" si="0"/>
        <v>0.18101933216168717</v>
      </c>
      <c r="H46" s="225">
        <f>IFERROR(VLOOKUP($B46,MMWR_TRAD_AGG_RO_COMP[],H$1,0),"ERROR")</f>
        <v>6108</v>
      </c>
      <c r="I46" s="223">
        <f>IFERROR(VLOOKUP($B46,MMWR_TRAD_AGG_RO_COMP[],I$1,0),"ERROR")</f>
        <v>4370</v>
      </c>
      <c r="J46" s="224">
        <f t="shared" si="1"/>
        <v>0.71545514079895223</v>
      </c>
      <c r="K46" s="226">
        <f>IFERROR(VLOOKUP($B46,MMWR_TRAD_AGG_RO_COMP[],K$1,0),"ERROR")</f>
        <v>1092</v>
      </c>
      <c r="L46" s="227">
        <f>IFERROR(VLOOKUP($B46,MMWR_TRAD_AGG_RO_COMP[],L$1,0),"ERROR")</f>
        <v>639</v>
      </c>
      <c r="M46" s="224">
        <f t="shared" si="2"/>
        <v>0.5851648351648352</v>
      </c>
      <c r="N46" s="226">
        <f>IFERROR(VLOOKUP($B46,MMWR_TRAD_AGG_RO_COMP[],N$1,0),"ERROR")</f>
        <v>1168</v>
      </c>
      <c r="O46" s="227">
        <f>IFERROR(VLOOKUP($B46,MMWR_TRAD_AGG_RO_COMP[],O$1,0),"ERROR")</f>
        <v>658</v>
      </c>
      <c r="P46" s="224">
        <f t="shared" si="3"/>
        <v>0.56335616438356162</v>
      </c>
      <c r="Q46" s="228">
        <f>IFERROR(VLOOKUP($B46,MMWR_TRAD_AGG_RO_COMP[],Q$1,0),"ERROR")</f>
        <v>1</v>
      </c>
      <c r="R46" s="228">
        <f>IFERROR(VLOOKUP($B46,MMWR_TRAD_AGG_RO_COMP[],R$1,0),"ERROR")</f>
        <v>250</v>
      </c>
      <c r="S46" s="202">
        <f>IFERROR(VLOOKUP($B46,MMWR_APP_RO[],S$1,0),"ERROR")</f>
        <v>5719</v>
      </c>
      <c r="T46" s="28"/>
    </row>
    <row r="47" spans="1:20" x14ac:dyDescent="0.2">
      <c r="A47" s="28"/>
      <c r="B47" s="108" t="s">
        <v>73</v>
      </c>
      <c r="C47" s="220">
        <f>IFERROR(VLOOKUP($B47,MMWR_TRAD_AGG_RO_COMP[],C$1,0),"ERROR")</f>
        <v>7720</v>
      </c>
      <c r="D47" s="221">
        <f>IFERROR(VLOOKUP($B47,MMWR_TRAD_AGG_RO_COMP[],D$1,0),"ERROR")</f>
        <v>238.2329015544</v>
      </c>
      <c r="E47" s="222">
        <f>IFERROR(VLOOKUP($B47,MMWR_TRAD_AGG_RO_COMP[],E$1,0),"ERROR")</f>
        <v>2494</v>
      </c>
      <c r="F47" s="223">
        <f>IFERROR(VLOOKUP($B47,MMWR_TRAD_AGG_RO_COMP[],F$1,0),"ERROR")</f>
        <v>588</v>
      </c>
      <c r="G47" s="224">
        <f t="shared" si="0"/>
        <v>0.23576583801122694</v>
      </c>
      <c r="H47" s="225">
        <f>IFERROR(VLOOKUP($B47,MMWR_TRAD_AGG_RO_COMP[],H$1,0),"ERROR")</f>
        <v>16770</v>
      </c>
      <c r="I47" s="223">
        <f>IFERROR(VLOOKUP($B47,MMWR_TRAD_AGG_RO_COMP[],I$1,0),"ERROR")</f>
        <v>8378</v>
      </c>
      <c r="J47" s="224">
        <f t="shared" si="1"/>
        <v>0.49958258795468097</v>
      </c>
      <c r="K47" s="226">
        <f>IFERROR(VLOOKUP($B47,MMWR_TRAD_AGG_RO_COMP[],K$1,0),"ERROR")</f>
        <v>1996</v>
      </c>
      <c r="L47" s="227">
        <f>IFERROR(VLOOKUP($B47,MMWR_TRAD_AGG_RO_COMP[],L$1,0),"ERROR")</f>
        <v>788</v>
      </c>
      <c r="M47" s="224">
        <f t="shared" si="2"/>
        <v>0.39478957915831664</v>
      </c>
      <c r="N47" s="226">
        <f>IFERROR(VLOOKUP($B47,MMWR_TRAD_AGG_RO_COMP[],N$1,0),"ERROR")</f>
        <v>175</v>
      </c>
      <c r="O47" s="227">
        <f>IFERROR(VLOOKUP($B47,MMWR_TRAD_AGG_RO_COMP[],O$1,0),"ERROR")</f>
        <v>101</v>
      </c>
      <c r="P47" s="224">
        <f t="shared" si="3"/>
        <v>0.57714285714285718</v>
      </c>
      <c r="Q47" s="228">
        <f>IFERROR(VLOOKUP($B47,MMWR_TRAD_AGG_RO_COMP[],Q$1,0),"ERROR")</f>
        <v>0</v>
      </c>
      <c r="R47" s="228">
        <f>IFERROR(VLOOKUP($B47,MMWR_TRAD_AGG_RO_COMP[],R$1,0),"ERROR")</f>
        <v>2</v>
      </c>
      <c r="S47" s="202">
        <f>IFERROR(VLOOKUP($B47,MMWR_APP_RO[],S$1,0),"ERROR")</f>
        <v>571</v>
      </c>
      <c r="T47" s="28"/>
    </row>
    <row r="48" spans="1:20" x14ac:dyDescent="0.2">
      <c r="A48" s="28"/>
      <c r="B48" s="116" t="s">
        <v>82</v>
      </c>
      <c r="C48" s="229">
        <f>IFERROR(VLOOKUP($B48,MMWR_TRAD_AGG_RO_COMP[],C$1,0),"ERROR")</f>
        <v>12359</v>
      </c>
      <c r="D48" s="230">
        <f>IFERROR(VLOOKUP($B48,MMWR_TRAD_AGG_RO_COMP[],D$1,0),"ERROR")</f>
        <v>328.39202200829999</v>
      </c>
      <c r="E48" s="231">
        <f>IFERROR(VLOOKUP($B48,MMWR_TRAD_AGG_RO_COMP[],E$1,0),"ERROR")</f>
        <v>17801</v>
      </c>
      <c r="F48" s="232">
        <f>IFERROR(VLOOKUP($B48,MMWR_TRAD_AGG_RO_COMP[],F$1,0),"ERROR")</f>
        <v>3231</v>
      </c>
      <c r="G48" s="233">
        <f t="shared" si="0"/>
        <v>0.181506656929386</v>
      </c>
      <c r="H48" s="234">
        <f>IFERROR(VLOOKUP($B48,MMWR_TRAD_AGG_RO_COMP[],H$1,0),"ERROR")</f>
        <v>14748</v>
      </c>
      <c r="I48" s="232">
        <f>IFERROR(VLOOKUP($B48,MMWR_TRAD_AGG_RO_COMP[],I$1,0),"ERROR")</f>
        <v>9218</v>
      </c>
      <c r="J48" s="233">
        <f t="shared" si="1"/>
        <v>0.62503390290208838</v>
      </c>
      <c r="K48" s="235">
        <f>IFERROR(VLOOKUP($B48,MMWR_TRAD_AGG_RO_COMP[],K$1,0),"ERROR")</f>
        <v>5192</v>
      </c>
      <c r="L48" s="236">
        <f>IFERROR(VLOOKUP($B48,MMWR_TRAD_AGG_RO_COMP[],L$1,0),"ERROR")</f>
        <v>2465</v>
      </c>
      <c r="M48" s="233">
        <f t="shared" si="2"/>
        <v>0.47476887519260402</v>
      </c>
      <c r="N48" s="235">
        <f>IFERROR(VLOOKUP($B48,MMWR_TRAD_AGG_RO_COMP[],N$1,0),"ERROR")</f>
        <v>3137</v>
      </c>
      <c r="O48" s="236">
        <f>IFERROR(VLOOKUP($B48,MMWR_TRAD_AGG_RO_COMP[],O$1,0),"ERROR")</f>
        <v>1615</v>
      </c>
      <c r="P48" s="233">
        <f t="shared" si="3"/>
        <v>0.51482307937519922</v>
      </c>
      <c r="Q48" s="237">
        <f>IFERROR(VLOOKUP($B48,MMWR_TRAD_AGG_RO_COMP[],Q$1,0),"ERROR")</f>
        <v>2</v>
      </c>
      <c r="R48" s="237">
        <f>IFERROR(VLOOKUP($B48,MMWR_TRAD_AGG_RO_COMP[],R$1,0),"ERROR")</f>
        <v>197</v>
      </c>
      <c r="S48" s="202">
        <f>IFERROR(VLOOKUP($B48,MMWR_APP_RO[],S$1,0),"ERROR")</f>
        <v>19615</v>
      </c>
      <c r="T48" s="28"/>
    </row>
    <row r="49" spans="1:20" x14ac:dyDescent="0.2">
      <c r="A49" s="28"/>
      <c r="B49" s="101" t="s">
        <v>404</v>
      </c>
      <c r="C49" s="213">
        <f>IFERROR(VLOOKUP($B49,MMWR_TRAD_AGG_DISTRICT_COMP[],C$1,0),"ERROR")</f>
        <v>56660</v>
      </c>
      <c r="D49" s="198">
        <f>IFERROR(VLOOKUP($B49,MMWR_TRAD_AGG_DISTRICT_COMP[],D$1,0),"ERROR")</f>
        <v>368.86729615249999</v>
      </c>
      <c r="E49" s="214">
        <f>IFERROR(VLOOKUP($B49,MMWR_TRAD_AGG_DISTRICT_COMP[],E$1,0),"ERROR")</f>
        <v>59988</v>
      </c>
      <c r="F49" s="219">
        <f>IFERROR(VLOOKUP($B49,MMWR_TRAD_AGG_DISTRICT_COMP[],F$1,0),"ERROR")</f>
        <v>11764</v>
      </c>
      <c r="G49" s="215">
        <f t="shared" si="0"/>
        <v>0.19610588784423552</v>
      </c>
      <c r="H49" s="219">
        <f>IFERROR(VLOOKUP($B49,MMWR_TRAD_AGG_DISTRICT_COMP[],H$1,0),"ERROR")</f>
        <v>82007</v>
      </c>
      <c r="I49" s="219">
        <f>IFERROR(VLOOKUP($B49,MMWR_TRAD_AGG_DISTRICT_COMP[],I$1,0),"ERROR")</f>
        <v>53526</v>
      </c>
      <c r="J49" s="215">
        <f t="shared" si="1"/>
        <v>0.65270037923591884</v>
      </c>
      <c r="K49" s="213">
        <f>IFERROR(VLOOKUP($B49,MMWR_TRAD_AGG_DISTRICT_COMP[],K$1,0),"ERROR")</f>
        <v>26522</v>
      </c>
      <c r="L49" s="213">
        <f>IFERROR(VLOOKUP($B49,MMWR_TRAD_AGG_DISTRICT_COMP[],L$1,0),"ERROR")</f>
        <v>17658</v>
      </c>
      <c r="M49" s="215">
        <f t="shared" si="2"/>
        <v>0.66578689389940426</v>
      </c>
      <c r="N49" s="213">
        <f>IFERROR(VLOOKUP($B49,MMWR_TRAD_AGG_DISTRICT_COMP[],N$1,0),"ERROR")</f>
        <v>19629</v>
      </c>
      <c r="O49" s="213">
        <f>IFERROR(VLOOKUP($B49,MMWR_TRAD_AGG_DISTRICT_COMP[],O$1,0),"ERROR")</f>
        <v>15043</v>
      </c>
      <c r="P49" s="215">
        <f t="shared" si="3"/>
        <v>0.76636609098782416</v>
      </c>
      <c r="Q49" s="213">
        <f>IFERROR(VLOOKUP($B49,MMWR_TRAD_AGG_DISTRICT_COMP[],Q$1,0),"ERROR")</f>
        <v>351</v>
      </c>
      <c r="R49" s="216">
        <f>IFERROR(VLOOKUP($B49,MMWR_TRAD_AGG_DISTRICT_COMP[],R$1,0),"ERROR")</f>
        <v>662</v>
      </c>
      <c r="S49" s="216">
        <f>IFERROR(VLOOKUP($B49,MMWR_APP_RO[],S$1,0),"ERROR")</f>
        <v>43811</v>
      </c>
      <c r="T49" s="28"/>
    </row>
    <row r="50" spans="1:20" x14ac:dyDescent="0.2">
      <c r="A50" s="28"/>
      <c r="B50" s="108" t="s">
        <v>34</v>
      </c>
      <c r="C50" s="220">
        <f>IFERROR(VLOOKUP($B50,MMWR_TRAD_AGG_RO_COMP[],C$1,0),"ERROR")</f>
        <v>1116</v>
      </c>
      <c r="D50" s="221">
        <f>IFERROR(VLOOKUP($B50,MMWR_TRAD_AGG_RO_COMP[],D$1,0),"ERROR")</f>
        <v>131.52419354840001</v>
      </c>
      <c r="E50" s="222">
        <f>IFERROR(VLOOKUP($B50,MMWR_TRAD_AGG_RO_COMP[],E$1,0),"ERROR")</f>
        <v>3156</v>
      </c>
      <c r="F50" s="223">
        <f>IFERROR(VLOOKUP($B50,MMWR_TRAD_AGG_RO_COMP[],F$1,0),"ERROR")</f>
        <v>610</v>
      </c>
      <c r="G50" s="224">
        <f t="shared" si="0"/>
        <v>0.19328263624841571</v>
      </c>
      <c r="H50" s="225">
        <f>IFERROR(VLOOKUP($B50,MMWR_TRAD_AGG_RO_COMP[],H$1,0),"ERROR")</f>
        <v>1579</v>
      </c>
      <c r="I50" s="223">
        <f>IFERROR(VLOOKUP($B50,MMWR_TRAD_AGG_RO_COMP[],I$1,0),"ERROR")</f>
        <v>511</v>
      </c>
      <c r="J50" s="224">
        <f t="shared" si="1"/>
        <v>0.32362254591513617</v>
      </c>
      <c r="K50" s="226">
        <f>IFERROR(VLOOKUP($B50,MMWR_TRAD_AGG_RO_COMP[],K$1,0),"ERROR")</f>
        <v>439</v>
      </c>
      <c r="L50" s="227">
        <f>IFERROR(VLOOKUP($B50,MMWR_TRAD_AGG_RO_COMP[],L$1,0),"ERROR")</f>
        <v>151</v>
      </c>
      <c r="M50" s="224">
        <f t="shared" si="2"/>
        <v>0.3439635535307517</v>
      </c>
      <c r="N50" s="226">
        <f>IFERROR(VLOOKUP($B50,MMWR_TRAD_AGG_RO_COMP[],N$1,0),"ERROR")</f>
        <v>384</v>
      </c>
      <c r="O50" s="227">
        <f>IFERROR(VLOOKUP($B50,MMWR_TRAD_AGG_RO_COMP[],O$1,0),"ERROR")</f>
        <v>223</v>
      </c>
      <c r="P50" s="224">
        <f t="shared" si="3"/>
        <v>0.58072916666666663</v>
      </c>
      <c r="Q50" s="228">
        <f>IFERROR(VLOOKUP($B50,MMWR_TRAD_AGG_RO_COMP[],Q$1,0),"ERROR")</f>
        <v>0</v>
      </c>
      <c r="R50" s="228">
        <f>IFERROR(VLOOKUP($B50,MMWR_TRAD_AGG_RO_COMP[],R$1,0),"ERROR")</f>
        <v>8</v>
      </c>
      <c r="S50" s="202">
        <f>IFERROR(VLOOKUP($B50,MMWR_APP_RO[],S$1,0),"ERROR")</f>
        <v>1730</v>
      </c>
      <c r="T50" s="28"/>
    </row>
    <row r="51" spans="1:20" x14ac:dyDescent="0.2">
      <c r="A51" s="28"/>
      <c r="B51" s="108" t="s">
        <v>35</v>
      </c>
      <c r="C51" s="220">
        <f>IFERROR(VLOOKUP($B51,MMWR_TRAD_AGG_RO_COMP[],C$1,0),"ERROR")</f>
        <v>1982</v>
      </c>
      <c r="D51" s="221">
        <f>IFERROR(VLOOKUP($B51,MMWR_TRAD_AGG_RO_COMP[],D$1,0),"ERROR")</f>
        <v>448.76740665990002</v>
      </c>
      <c r="E51" s="222">
        <f>IFERROR(VLOOKUP($B51,MMWR_TRAD_AGG_RO_COMP[],E$1,0),"ERROR")</f>
        <v>1179</v>
      </c>
      <c r="F51" s="223">
        <f>IFERROR(VLOOKUP($B51,MMWR_TRAD_AGG_RO_COMP[],F$1,0),"ERROR")</f>
        <v>320</v>
      </c>
      <c r="G51" s="224">
        <f t="shared" si="0"/>
        <v>0.27141645462256148</v>
      </c>
      <c r="H51" s="225">
        <f>IFERROR(VLOOKUP($B51,MMWR_TRAD_AGG_RO_COMP[],H$1,0),"ERROR")</f>
        <v>2687</v>
      </c>
      <c r="I51" s="223">
        <f>IFERROR(VLOOKUP($B51,MMWR_TRAD_AGG_RO_COMP[],I$1,0),"ERROR")</f>
        <v>1864</v>
      </c>
      <c r="J51" s="224">
        <f t="shared" si="1"/>
        <v>0.69371045775958318</v>
      </c>
      <c r="K51" s="226">
        <f>IFERROR(VLOOKUP($B51,MMWR_TRAD_AGG_RO_COMP[],K$1,0),"ERROR")</f>
        <v>2223</v>
      </c>
      <c r="L51" s="227">
        <f>IFERROR(VLOOKUP($B51,MMWR_TRAD_AGG_RO_COMP[],L$1,0),"ERROR")</f>
        <v>1912</v>
      </c>
      <c r="M51" s="224">
        <f t="shared" si="2"/>
        <v>0.86009896536212327</v>
      </c>
      <c r="N51" s="226">
        <f>IFERROR(VLOOKUP($B51,MMWR_TRAD_AGG_RO_COMP[],N$1,0),"ERROR")</f>
        <v>396</v>
      </c>
      <c r="O51" s="227">
        <f>IFERROR(VLOOKUP($B51,MMWR_TRAD_AGG_RO_COMP[],O$1,0),"ERROR")</f>
        <v>161</v>
      </c>
      <c r="P51" s="224">
        <f t="shared" si="3"/>
        <v>0.40656565656565657</v>
      </c>
      <c r="Q51" s="228">
        <f>IFERROR(VLOOKUP($B51,MMWR_TRAD_AGG_RO_COMP[],Q$1,0),"ERROR")</f>
        <v>0</v>
      </c>
      <c r="R51" s="228">
        <f>IFERROR(VLOOKUP($B51,MMWR_TRAD_AGG_RO_COMP[],R$1,0),"ERROR")</f>
        <v>2</v>
      </c>
      <c r="S51" s="202">
        <f>IFERROR(VLOOKUP($B51,MMWR_APP_RO[],S$1,0),"ERROR")</f>
        <v>216</v>
      </c>
      <c r="T51" s="28"/>
    </row>
    <row r="52" spans="1:20" x14ac:dyDescent="0.2">
      <c r="A52" s="28"/>
      <c r="B52" s="108" t="s">
        <v>37</v>
      </c>
      <c r="C52" s="220">
        <f>IFERROR(VLOOKUP($B52,MMWR_TRAD_AGG_RO_COMP[],C$1,0),"ERROR")</f>
        <v>199</v>
      </c>
      <c r="D52" s="221">
        <f>IFERROR(VLOOKUP($B52,MMWR_TRAD_AGG_RO_COMP[],D$1,0),"ERROR")</f>
        <v>65.512562814099994</v>
      </c>
      <c r="E52" s="222">
        <f>IFERROR(VLOOKUP($B52,MMWR_TRAD_AGG_RO_COMP[],E$1,0),"ERROR")</f>
        <v>1256</v>
      </c>
      <c r="F52" s="223">
        <f>IFERROR(VLOOKUP($B52,MMWR_TRAD_AGG_RO_COMP[],F$1,0),"ERROR")</f>
        <v>244</v>
      </c>
      <c r="G52" s="224">
        <f t="shared" si="0"/>
        <v>0.19426751592356689</v>
      </c>
      <c r="H52" s="225">
        <f>IFERROR(VLOOKUP($B52,MMWR_TRAD_AGG_RO_COMP[],H$1,0),"ERROR")</f>
        <v>380</v>
      </c>
      <c r="I52" s="223">
        <f>IFERROR(VLOOKUP($B52,MMWR_TRAD_AGG_RO_COMP[],I$1,0),"ERROR")</f>
        <v>46</v>
      </c>
      <c r="J52" s="224">
        <f t="shared" si="1"/>
        <v>0.12105263157894737</v>
      </c>
      <c r="K52" s="226">
        <f>IFERROR(VLOOKUP($B52,MMWR_TRAD_AGG_RO_COMP[],K$1,0),"ERROR")</f>
        <v>266</v>
      </c>
      <c r="L52" s="227">
        <f>IFERROR(VLOOKUP($B52,MMWR_TRAD_AGG_RO_COMP[],L$1,0),"ERROR")</f>
        <v>26</v>
      </c>
      <c r="M52" s="224">
        <f t="shared" si="2"/>
        <v>9.7744360902255634E-2</v>
      </c>
      <c r="N52" s="226">
        <f>IFERROR(VLOOKUP($B52,MMWR_TRAD_AGG_RO_COMP[],N$1,0),"ERROR")</f>
        <v>107</v>
      </c>
      <c r="O52" s="227">
        <f>IFERROR(VLOOKUP($B52,MMWR_TRAD_AGG_RO_COMP[],O$1,0),"ERROR")</f>
        <v>50</v>
      </c>
      <c r="P52" s="224">
        <f t="shared" si="3"/>
        <v>0.46728971962616822</v>
      </c>
      <c r="Q52" s="228">
        <f>IFERROR(VLOOKUP($B52,MMWR_TRAD_AGG_RO_COMP[],Q$1,0),"ERROR")</f>
        <v>0</v>
      </c>
      <c r="R52" s="228">
        <f>IFERROR(VLOOKUP($B52,MMWR_TRAD_AGG_RO_COMP[],R$1,0),"ERROR")</f>
        <v>3</v>
      </c>
      <c r="S52" s="202">
        <f>IFERROR(VLOOKUP($B52,MMWR_APP_RO[],S$1,0),"ERROR")</f>
        <v>931</v>
      </c>
      <c r="T52" s="28"/>
    </row>
    <row r="53" spans="1:20" x14ac:dyDescent="0.2">
      <c r="A53" s="28"/>
      <c r="B53" s="108" t="s">
        <v>48</v>
      </c>
      <c r="C53" s="220">
        <f>IFERROR(VLOOKUP($B53,MMWR_TRAD_AGG_RO_COMP[],C$1,0),"ERROR")</f>
        <v>1704</v>
      </c>
      <c r="D53" s="221">
        <f>IFERROR(VLOOKUP($B53,MMWR_TRAD_AGG_RO_COMP[],D$1,0),"ERROR")</f>
        <v>262.89906103290002</v>
      </c>
      <c r="E53" s="222">
        <f>IFERROR(VLOOKUP($B53,MMWR_TRAD_AGG_RO_COMP[],E$1,0),"ERROR")</f>
        <v>2022</v>
      </c>
      <c r="F53" s="223">
        <f>IFERROR(VLOOKUP($B53,MMWR_TRAD_AGG_RO_COMP[],F$1,0),"ERROR")</f>
        <v>431</v>
      </c>
      <c r="G53" s="224">
        <f t="shared" si="0"/>
        <v>0.21315529179030662</v>
      </c>
      <c r="H53" s="225">
        <f>IFERROR(VLOOKUP($B53,MMWR_TRAD_AGG_RO_COMP[],H$1,0),"ERROR")</f>
        <v>2166</v>
      </c>
      <c r="I53" s="223">
        <f>IFERROR(VLOOKUP($B53,MMWR_TRAD_AGG_RO_COMP[],I$1,0),"ERROR")</f>
        <v>1467</v>
      </c>
      <c r="J53" s="224">
        <f t="shared" si="1"/>
        <v>0.67728531855955676</v>
      </c>
      <c r="K53" s="226">
        <f>IFERROR(VLOOKUP($B53,MMWR_TRAD_AGG_RO_COMP[],K$1,0),"ERROR")</f>
        <v>1120</v>
      </c>
      <c r="L53" s="227">
        <f>IFERROR(VLOOKUP($B53,MMWR_TRAD_AGG_RO_COMP[],L$1,0),"ERROR")</f>
        <v>628</v>
      </c>
      <c r="M53" s="224">
        <f t="shared" si="2"/>
        <v>0.56071428571428572</v>
      </c>
      <c r="N53" s="226">
        <f>IFERROR(VLOOKUP($B53,MMWR_TRAD_AGG_RO_COMP[],N$1,0),"ERROR")</f>
        <v>162</v>
      </c>
      <c r="O53" s="227">
        <f>IFERROR(VLOOKUP($B53,MMWR_TRAD_AGG_RO_COMP[],O$1,0),"ERROR")</f>
        <v>95</v>
      </c>
      <c r="P53" s="224">
        <f t="shared" si="3"/>
        <v>0.5864197530864198</v>
      </c>
      <c r="Q53" s="228">
        <f>IFERROR(VLOOKUP($B53,MMWR_TRAD_AGG_RO_COMP[],Q$1,0),"ERROR")</f>
        <v>0</v>
      </c>
      <c r="R53" s="228">
        <f>IFERROR(VLOOKUP($B53,MMWR_TRAD_AGG_RO_COMP[],R$1,0),"ERROR")</f>
        <v>0</v>
      </c>
      <c r="S53" s="202">
        <f>IFERROR(VLOOKUP($B53,MMWR_APP_RO[],S$1,0),"ERROR")</f>
        <v>1407</v>
      </c>
      <c r="T53" s="28"/>
    </row>
    <row r="54" spans="1:20" x14ac:dyDescent="0.2">
      <c r="A54" s="28"/>
      <c r="B54" s="108" t="s">
        <v>55</v>
      </c>
      <c r="C54" s="220">
        <f>IFERROR(VLOOKUP($B54,MMWR_TRAD_AGG_RO_COMP[],C$1,0),"ERROR")</f>
        <v>7725</v>
      </c>
      <c r="D54" s="221">
        <f>IFERROR(VLOOKUP($B54,MMWR_TRAD_AGG_RO_COMP[],D$1,0),"ERROR")</f>
        <v>368.46770226540002</v>
      </c>
      <c r="E54" s="222">
        <f>IFERROR(VLOOKUP($B54,MMWR_TRAD_AGG_RO_COMP[],E$1,0),"ERROR")</f>
        <v>8958</v>
      </c>
      <c r="F54" s="223">
        <f>IFERROR(VLOOKUP($B54,MMWR_TRAD_AGG_RO_COMP[],F$1,0),"ERROR")</f>
        <v>1847</v>
      </c>
      <c r="G54" s="224">
        <f t="shared" si="0"/>
        <v>0.2061844161643224</v>
      </c>
      <c r="H54" s="225">
        <f>IFERROR(VLOOKUP($B54,MMWR_TRAD_AGG_RO_COMP[],H$1,0),"ERROR")</f>
        <v>9251</v>
      </c>
      <c r="I54" s="223">
        <f>IFERROR(VLOOKUP($B54,MMWR_TRAD_AGG_RO_COMP[],I$1,0),"ERROR")</f>
        <v>6075</v>
      </c>
      <c r="J54" s="224">
        <f t="shared" si="1"/>
        <v>0.65668576370122145</v>
      </c>
      <c r="K54" s="226">
        <f>IFERROR(VLOOKUP($B54,MMWR_TRAD_AGG_RO_COMP[],K$1,0),"ERROR")</f>
        <v>1053</v>
      </c>
      <c r="L54" s="227">
        <f>IFERROR(VLOOKUP($B54,MMWR_TRAD_AGG_RO_COMP[],L$1,0),"ERROR")</f>
        <v>887</v>
      </c>
      <c r="M54" s="224">
        <f t="shared" si="2"/>
        <v>0.84235517568850904</v>
      </c>
      <c r="N54" s="226">
        <f>IFERROR(VLOOKUP($B54,MMWR_TRAD_AGG_RO_COMP[],N$1,0),"ERROR")</f>
        <v>4085</v>
      </c>
      <c r="O54" s="227">
        <f>IFERROR(VLOOKUP($B54,MMWR_TRAD_AGG_RO_COMP[],O$1,0),"ERROR")</f>
        <v>3452</v>
      </c>
      <c r="P54" s="224">
        <f t="shared" si="3"/>
        <v>0.84504283965728277</v>
      </c>
      <c r="Q54" s="228">
        <f>IFERROR(VLOOKUP($B54,MMWR_TRAD_AGG_RO_COMP[],Q$1,0),"ERROR")</f>
        <v>2</v>
      </c>
      <c r="R54" s="228">
        <f>IFERROR(VLOOKUP($B54,MMWR_TRAD_AGG_RO_COMP[],R$1,0),"ERROR")</f>
        <v>29</v>
      </c>
      <c r="S54" s="202">
        <f>IFERROR(VLOOKUP($B54,MMWR_APP_RO[],S$1,0),"ERROR")</f>
        <v>4767</v>
      </c>
      <c r="T54" s="28"/>
    </row>
    <row r="55" spans="1:20" x14ac:dyDescent="0.2">
      <c r="A55" s="28"/>
      <c r="B55" s="108" t="s">
        <v>58</v>
      </c>
      <c r="C55" s="220">
        <f>IFERROR(VLOOKUP($B55,MMWR_TRAD_AGG_RO_COMP[],C$1,0),"ERROR")</f>
        <v>864</v>
      </c>
      <c r="D55" s="221">
        <f>IFERROR(VLOOKUP($B55,MMWR_TRAD_AGG_RO_COMP[],D$1,0),"ERROR")</f>
        <v>175.599537037</v>
      </c>
      <c r="E55" s="222">
        <f>IFERROR(VLOOKUP($B55,MMWR_TRAD_AGG_RO_COMP[],E$1,0),"ERROR")</f>
        <v>852</v>
      </c>
      <c r="F55" s="223">
        <f>IFERROR(VLOOKUP($B55,MMWR_TRAD_AGG_RO_COMP[],F$1,0),"ERROR")</f>
        <v>189</v>
      </c>
      <c r="G55" s="224">
        <f t="shared" si="0"/>
        <v>0.22183098591549297</v>
      </c>
      <c r="H55" s="225">
        <f>IFERROR(VLOOKUP($B55,MMWR_TRAD_AGG_RO_COMP[],H$1,0),"ERROR")</f>
        <v>980</v>
      </c>
      <c r="I55" s="223">
        <f>IFERROR(VLOOKUP($B55,MMWR_TRAD_AGG_RO_COMP[],I$1,0),"ERROR")</f>
        <v>501</v>
      </c>
      <c r="J55" s="224">
        <f t="shared" si="1"/>
        <v>0.51122448979591839</v>
      </c>
      <c r="K55" s="226">
        <f>IFERROR(VLOOKUP($B55,MMWR_TRAD_AGG_RO_COMP[],K$1,0),"ERROR")</f>
        <v>263</v>
      </c>
      <c r="L55" s="227">
        <f>IFERROR(VLOOKUP($B55,MMWR_TRAD_AGG_RO_COMP[],L$1,0),"ERROR")</f>
        <v>95</v>
      </c>
      <c r="M55" s="224">
        <f t="shared" si="2"/>
        <v>0.36121673003802279</v>
      </c>
      <c r="N55" s="226">
        <f>IFERROR(VLOOKUP($B55,MMWR_TRAD_AGG_RO_COMP[],N$1,0),"ERROR")</f>
        <v>855</v>
      </c>
      <c r="O55" s="227">
        <f>IFERROR(VLOOKUP($B55,MMWR_TRAD_AGG_RO_COMP[],O$1,0),"ERROR")</f>
        <v>474</v>
      </c>
      <c r="P55" s="224">
        <f t="shared" si="3"/>
        <v>0.55438596491228065</v>
      </c>
      <c r="Q55" s="228">
        <f>IFERROR(VLOOKUP($B55,MMWR_TRAD_AGG_RO_COMP[],Q$1,0),"ERROR")</f>
        <v>346</v>
      </c>
      <c r="R55" s="228">
        <f>IFERROR(VLOOKUP($B55,MMWR_TRAD_AGG_RO_COMP[],R$1,0),"ERROR")</f>
        <v>135</v>
      </c>
      <c r="S55" s="202">
        <f>IFERROR(VLOOKUP($B55,MMWR_APP_RO[],S$1,0),"ERROR")</f>
        <v>980</v>
      </c>
      <c r="T55" s="28"/>
    </row>
    <row r="56" spans="1:20" x14ac:dyDescent="0.2">
      <c r="A56" s="28"/>
      <c r="B56" s="108" t="s">
        <v>65</v>
      </c>
      <c r="C56" s="220">
        <f>IFERROR(VLOOKUP($B56,MMWR_TRAD_AGG_RO_COMP[],C$1,0),"ERROR")</f>
        <v>8516</v>
      </c>
      <c r="D56" s="221">
        <f>IFERROR(VLOOKUP($B56,MMWR_TRAD_AGG_RO_COMP[],D$1,0),"ERROR")</f>
        <v>398.38832785350002</v>
      </c>
      <c r="E56" s="222">
        <f>IFERROR(VLOOKUP($B56,MMWR_TRAD_AGG_RO_COMP[],E$1,0),"ERROR")</f>
        <v>11195</v>
      </c>
      <c r="F56" s="223">
        <f>IFERROR(VLOOKUP($B56,MMWR_TRAD_AGG_RO_COMP[],F$1,0),"ERROR")</f>
        <v>2364</v>
      </c>
      <c r="G56" s="224">
        <f t="shared" si="0"/>
        <v>0.21116569897275569</v>
      </c>
      <c r="H56" s="225">
        <f>IFERROR(VLOOKUP($B56,MMWR_TRAD_AGG_RO_COMP[],H$1,0),"ERROR")</f>
        <v>11557</v>
      </c>
      <c r="I56" s="223">
        <f>IFERROR(VLOOKUP($B56,MMWR_TRAD_AGG_RO_COMP[],I$1,0),"ERROR")</f>
        <v>8883</v>
      </c>
      <c r="J56" s="224">
        <f t="shared" si="1"/>
        <v>0.76862507571168992</v>
      </c>
      <c r="K56" s="226">
        <f>IFERROR(VLOOKUP($B56,MMWR_TRAD_AGG_RO_COMP[],K$1,0),"ERROR")</f>
        <v>4628</v>
      </c>
      <c r="L56" s="227">
        <f>IFERROR(VLOOKUP($B56,MMWR_TRAD_AGG_RO_COMP[],L$1,0),"ERROR")</f>
        <v>3954</v>
      </c>
      <c r="M56" s="224">
        <f t="shared" si="2"/>
        <v>0.85436473638720833</v>
      </c>
      <c r="N56" s="226">
        <f>IFERROR(VLOOKUP($B56,MMWR_TRAD_AGG_RO_COMP[],N$1,0),"ERROR")</f>
        <v>2089</v>
      </c>
      <c r="O56" s="227">
        <f>IFERROR(VLOOKUP($B56,MMWR_TRAD_AGG_RO_COMP[],O$1,0),"ERROR")</f>
        <v>1685</v>
      </c>
      <c r="P56" s="224">
        <f t="shared" si="3"/>
        <v>0.80660603159406419</v>
      </c>
      <c r="Q56" s="228">
        <f>IFERROR(VLOOKUP($B56,MMWR_TRAD_AGG_RO_COMP[],Q$1,0),"ERROR")</f>
        <v>0</v>
      </c>
      <c r="R56" s="228">
        <f>IFERROR(VLOOKUP($B56,MMWR_TRAD_AGG_RO_COMP[],R$1,0),"ERROR")</f>
        <v>29</v>
      </c>
      <c r="S56" s="202">
        <f>IFERROR(VLOOKUP($B56,MMWR_APP_RO[],S$1,0),"ERROR")</f>
        <v>8661</v>
      </c>
      <c r="T56" s="28"/>
    </row>
    <row r="57" spans="1:20" x14ac:dyDescent="0.2">
      <c r="A57" s="28"/>
      <c r="B57" s="108" t="s">
        <v>67</v>
      </c>
      <c r="C57" s="220">
        <f>IFERROR(VLOOKUP($B57,MMWR_TRAD_AGG_RO_COMP[],C$1,0),"ERROR")</f>
        <v>4607</v>
      </c>
      <c r="D57" s="221">
        <f>IFERROR(VLOOKUP($B57,MMWR_TRAD_AGG_RO_COMP[],D$1,0),"ERROR")</f>
        <v>260.23485999569999</v>
      </c>
      <c r="E57" s="222">
        <f>IFERROR(VLOOKUP($B57,MMWR_TRAD_AGG_RO_COMP[],E$1,0),"ERROR")</f>
        <v>4137</v>
      </c>
      <c r="F57" s="223">
        <f>IFERROR(VLOOKUP($B57,MMWR_TRAD_AGG_RO_COMP[],F$1,0),"ERROR")</f>
        <v>971</v>
      </c>
      <c r="G57" s="224">
        <f t="shared" si="0"/>
        <v>0.23471114334058496</v>
      </c>
      <c r="H57" s="225">
        <f>IFERROR(VLOOKUP($B57,MMWR_TRAD_AGG_RO_COMP[],H$1,0),"ERROR")</f>
        <v>5828</v>
      </c>
      <c r="I57" s="223">
        <f>IFERROR(VLOOKUP($B57,MMWR_TRAD_AGG_RO_COMP[],I$1,0),"ERROR")</f>
        <v>3296</v>
      </c>
      <c r="J57" s="224">
        <f t="shared" si="1"/>
        <v>0.56554564172958133</v>
      </c>
      <c r="K57" s="226">
        <f>IFERROR(VLOOKUP($B57,MMWR_TRAD_AGG_RO_COMP[],K$1,0),"ERROR")</f>
        <v>1123</v>
      </c>
      <c r="L57" s="227">
        <f>IFERROR(VLOOKUP($B57,MMWR_TRAD_AGG_RO_COMP[],L$1,0),"ERROR")</f>
        <v>313</v>
      </c>
      <c r="M57" s="224">
        <f t="shared" si="2"/>
        <v>0.27871772039180764</v>
      </c>
      <c r="N57" s="226">
        <f>IFERROR(VLOOKUP($B57,MMWR_TRAD_AGG_RO_COMP[],N$1,0),"ERROR")</f>
        <v>2264</v>
      </c>
      <c r="O57" s="227">
        <f>IFERROR(VLOOKUP($B57,MMWR_TRAD_AGG_RO_COMP[],O$1,0),"ERROR")</f>
        <v>1980</v>
      </c>
      <c r="P57" s="224">
        <f t="shared" si="3"/>
        <v>0.87455830388692579</v>
      </c>
      <c r="Q57" s="228">
        <f>IFERROR(VLOOKUP($B57,MMWR_TRAD_AGG_RO_COMP[],Q$1,0),"ERROR")</f>
        <v>1</v>
      </c>
      <c r="R57" s="228">
        <f>IFERROR(VLOOKUP($B57,MMWR_TRAD_AGG_RO_COMP[],R$1,0),"ERROR")</f>
        <v>67</v>
      </c>
      <c r="S57" s="202">
        <f>IFERROR(VLOOKUP($B57,MMWR_APP_RO[],S$1,0),"ERROR")</f>
        <v>7116</v>
      </c>
      <c r="T57" s="28"/>
    </row>
    <row r="58" spans="1:20" x14ac:dyDescent="0.2">
      <c r="A58" s="28"/>
      <c r="B58" s="108" t="s">
        <v>69</v>
      </c>
      <c r="C58" s="220">
        <f>IFERROR(VLOOKUP($B58,MMWR_TRAD_AGG_RO_COMP[],C$1,0),"ERROR")</f>
        <v>7638</v>
      </c>
      <c r="D58" s="221">
        <f>IFERROR(VLOOKUP($B58,MMWR_TRAD_AGG_RO_COMP[],D$1,0),"ERROR")</f>
        <v>415.64074365020002</v>
      </c>
      <c r="E58" s="222">
        <f>IFERROR(VLOOKUP($B58,MMWR_TRAD_AGG_RO_COMP[],E$1,0),"ERROR")</f>
        <v>4528</v>
      </c>
      <c r="F58" s="223">
        <f>IFERROR(VLOOKUP($B58,MMWR_TRAD_AGG_RO_COMP[],F$1,0),"ERROR")</f>
        <v>1164</v>
      </c>
      <c r="G58" s="224">
        <f t="shared" si="0"/>
        <v>0.25706713780918727</v>
      </c>
      <c r="H58" s="225">
        <f>IFERROR(VLOOKUP($B58,MMWR_TRAD_AGG_RO_COMP[],H$1,0),"ERROR")</f>
        <v>9436</v>
      </c>
      <c r="I58" s="223">
        <f>IFERROR(VLOOKUP($B58,MMWR_TRAD_AGG_RO_COMP[],I$1,0),"ERROR")</f>
        <v>7056</v>
      </c>
      <c r="J58" s="224">
        <f t="shared" si="1"/>
        <v>0.74777448071216612</v>
      </c>
      <c r="K58" s="226">
        <f>IFERROR(VLOOKUP($B58,MMWR_TRAD_AGG_RO_COMP[],K$1,0),"ERROR")</f>
        <v>3453</v>
      </c>
      <c r="L58" s="227">
        <f>IFERROR(VLOOKUP($B58,MMWR_TRAD_AGG_RO_COMP[],L$1,0),"ERROR")</f>
        <v>2837</v>
      </c>
      <c r="M58" s="224">
        <f t="shared" si="2"/>
        <v>0.82160440196930207</v>
      </c>
      <c r="N58" s="226">
        <f>IFERROR(VLOOKUP($B58,MMWR_TRAD_AGG_RO_COMP[],N$1,0),"ERROR")</f>
        <v>1806</v>
      </c>
      <c r="O58" s="227">
        <f>IFERROR(VLOOKUP($B58,MMWR_TRAD_AGG_RO_COMP[],O$1,0),"ERROR")</f>
        <v>987</v>
      </c>
      <c r="P58" s="224">
        <f t="shared" si="3"/>
        <v>0.54651162790697672</v>
      </c>
      <c r="Q58" s="228">
        <f>IFERROR(VLOOKUP($B58,MMWR_TRAD_AGG_RO_COMP[],Q$1,0),"ERROR")</f>
        <v>0</v>
      </c>
      <c r="R58" s="228">
        <f>IFERROR(VLOOKUP($B58,MMWR_TRAD_AGG_RO_COMP[],R$1,0),"ERROR")</f>
        <v>72</v>
      </c>
      <c r="S58" s="202">
        <f>IFERROR(VLOOKUP($B58,MMWR_APP_RO[],S$1,0),"ERROR")</f>
        <v>5511</v>
      </c>
      <c r="T58" s="28"/>
    </row>
    <row r="59" spans="1:20" x14ac:dyDescent="0.2">
      <c r="A59" s="28"/>
      <c r="B59" s="108" t="s">
        <v>71</v>
      </c>
      <c r="C59" s="220">
        <f>IFERROR(VLOOKUP($B59,MMWR_TRAD_AGG_RO_COMP[],C$1,0),"ERROR")</f>
        <v>3211</v>
      </c>
      <c r="D59" s="221">
        <f>IFERROR(VLOOKUP($B59,MMWR_TRAD_AGG_RO_COMP[],D$1,0),"ERROR")</f>
        <v>471.70507630020001</v>
      </c>
      <c r="E59" s="222">
        <f>IFERROR(VLOOKUP($B59,MMWR_TRAD_AGG_RO_COMP[],E$1,0),"ERROR")</f>
        <v>3394</v>
      </c>
      <c r="F59" s="223">
        <f>IFERROR(VLOOKUP($B59,MMWR_TRAD_AGG_RO_COMP[],F$1,0),"ERROR")</f>
        <v>693</v>
      </c>
      <c r="G59" s="224">
        <f t="shared" si="0"/>
        <v>0.20418385385975252</v>
      </c>
      <c r="H59" s="225">
        <f>IFERROR(VLOOKUP($B59,MMWR_TRAD_AGG_RO_COMP[],H$1,0),"ERROR")</f>
        <v>3660</v>
      </c>
      <c r="I59" s="223">
        <f>IFERROR(VLOOKUP($B59,MMWR_TRAD_AGG_RO_COMP[],I$1,0),"ERROR")</f>
        <v>2668</v>
      </c>
      <c r="J59" s="224">
        <f t="shared" si="1"/>
        <v>0.72896174863387975</v>
      </c>
      <c r="K59" s="226">
        <f>IFERROR(VLOOKUP($B59,MMWR_TRAD_AGG_RO_COMP[],K$1,0),"ERROR")</f>
        <v>572</v>
      </c>
      <c r="L59" s="227">
        <f>IFERROR(VLOOKUP($B59,MMWR_TRAD_AGG_RO_COMP[],L$1,0),"ERROR")</f>
        <v>413</v>
      </c>
      <c r="M59" s="224">
        <f t="shared" si="2"/>
        <v>0.72202797202797198</v>
      </c>
      <c r="N59" s="226">
        <f>IFERROR(VLOOKUP($B59,MMWR_TRAD_AGG_RO_COMP[],N$1,0),"ERROR")</f>
        <v>1025</v>
      </c>
      <c r="O59" s="227">
        <f>IFERROR(VLOOKUP($B59,MMWR_TRAD_AGG_RO_COMP[],O$1,0),"ERROR")</f>
        <v>757</v>
      </c>
      <c r="P59" s="224">
        <f t="shared" si="3"/>
        <v>0.73853658536585365</v>
      </c>
      <c r="Q59" s="228">
        <f>IFERROR(VLOOKUP($B59,MMWR_TRAD_AGG_RO_COMP[],Q$1,0),"ERROR")</f>
        <v>0</v>
      </c>
      <c r="R59" s="228">
        <f>IFERROR(VLOOKUP($B59,MMWR_TRAD_AGG_RO_COMP[],R$1,0),"ERROR")</f>
        <v>115</v>
      </c>
      <c r="S59" s="202">
        <f>IFERROR(VLOOKUP($B59,MMWR_APP_RO[],S$1,0),"ERROR")</f>
        <v>3024</v>
      </c>
      <c r="T59" s="28"/>
    </row>
    <row r="60" spans="1:20" x14ac:dyDescent="0.2">
      <c r="A60" s="28"/>
      <c r="B60" s="108" t="s">
        <v>74</v>
      </c>
      <c r="C60" s="220">
        <f>IFERROR(VLOOKUP($B60,MMWR_TRAD_AGG_RO_COMP[],C$1,0),"ERROR")</f>
        <v>7090</v>
      </c>
      <c r="D60" s="221">
        <f>IFERROR(VLOOKUP($B60,MMWR_TRAD_AGG_RO_COMP[],D$1,0),"ERROR")</f>
        <v>338.92990126939998</v>
      </c>
      <c r="E60" s="222">
        <f>IFERROR(VLOOKUP($B60,MMWR_TRAD_AGG_RO_COMP[],E$1,0),"ERROR")</f>
        <v>12178</v>
      </c>
      <c r="F60" s="223">
        <f>IFERROR(VLOOKUP($B60,MMWR_TRAD_AGG_RO_COMP[],F$1,0),"ERROR")</f>
        <v>1742</v>
      </c>
      <c r="G60" s="224">
        <f t="shared" si="0"/>
        <v>0.14304483494826736</v>
      </c>
      <c r="H60" s="225">
        <f>IFERROR(VLOOKUP($B60,MMWR_TRAD_AGG_RO_COMP[],H$1,0),"ERROR")</f>
        <v>17351</v>
      </c>
      <c r="I60" s="223">
        <f>IFERROR(VLOOKUP($B60,MMWR_TRAD_AGG_RO_COMP[],I$1,0),"ERROR")</f>
        <v>8941</v>
      </c>
      <c r="J60" s="224">
        <f t="shared" si="1"/>
        <v>0.51530171171690398</v>
      </c>
      <c r="K60" s="226">
        <f>IFERROR(VLOOKUP($B60,MMWR_TRAD_AGG_RO_COMP[],K$1,0),"ERROR")</f>
        <v>5128</v>
      </c>
      <c r="L60" s="227">
        <f>IFERROR(VLOOKUP($B60,MMWR_TRAD_AGG_RO_COMP[],L$1,0),"ERROR")</f>
        <v>2334</v>
      </c>
      <c r="M60" s="224">
        <f t="shared" si="2"/>
        <v>0.45514820592823713</v>
      </c>
      <c r="N60" s="226">
        <f>IFERROR(VLOOKUP($B60,MMWR_TRAD_AGG_RO_COMP[],N$1,0),"ERROR")</f>
        <v>2252</v>
      </c>
      <c r="O60" s="227">
        <f>IFERROR(VLOOKUP($B60,MMWR_TRAD_AGG_RO_COMP[],O$1,0),"ERROR")</f>
        <v>1555</v>
      </c>
      <c r="P60" s="224">
        <f t="shared" si="3"/>
        <v>0.69049733570159855</v>
      </c>
      <c r="Q60" s="228">
        <f>IFERROR(VLOOKUP($B60,MMWR_TRAD_AGG_RO_COMP[],Q$1,0),"ERROR")</f>
        <v>0</v>
      </c>
      <c r="R60" s="228">
        <f>IFERROR(VLOOKUP($B60,MMWR_TRAD_AGG_RO_COMP[],R$1,0),"ERROR")</f>
        <v>58</v>
      </c>
      <c r="S60" s="202">
        <f>IFERROR(VLOOKUP($B60,MMWR_APP_RO[],S$1,0),"ERROR")</f>
        <v>4348</v>
      </c>
      <c r="T60" s="28"/>
    </row>
    <row r="61" spans="1:20" x14ac:dyDescent="0.2">
      <c r="A61" s="28"/>
      <c r="B61" s="116" t="s">
        <v>76</v>
      </c>
      <c r="C61" s="229">
        <f>IFERROR(VLOOKUP($B61,MMWR_TRAD_AGG_RO_COMP[],C$1,0),"ERROR")</f>
        <v>12008</v>
      </c>
      <c r="D61" s="230">
        <f>IFERROR(VLOOKUP($B61,MMWR_TRAD_AGG_RO_COMP[],D$1,0),"ERROR")</f>
        <v>393.1325782811</v>
      </c>
      <c r="E61" s="231">
        <f>IFERROR(VLOOKUP($B61,MMWR_TRAD_AGG_RO_COMP[],E$1,0),"ERROR")</f>
        <v>7133</v>
      </c>
      <c r="F61" s="232">
        <f>IFERROR(VLOOKUP($B61,MMWR_TRAD_AGG_RO_COMP[],F$1,0),"ERROR")</f>
        <v>1189</v>
      </c>
      <c r="G61" s="233">
        <f t="shared" si="0"/>
        <v>0.16669003224449741</v>
      </c>
      <c r="H61" s="234">
        <f>IFERROR(VLOOKUP($B61,MMWR_TRAD_AGG_RO_COMP[],H$1,0),"ERROR")</f>
        <v>17132</v>
      </c>
      <c r="I61" s="232">
        <f>IFERROR(VLOOKUP($B61,MMWR_TRAD_AGG_RO_COMP[],I$1,0),"ERROR")</f>
        <v>12218</v>
      </c>
      <c r="J61" s="233">
        <f t="shared" si="1"/>
        <v>0.71316833994863416</v>
      </c>
      <c r="K61" s="235">
        <f>IFERROR(VLOOKUP($B61,MMWR_TRAD_AGG_RO_COMP[],K$1,0),"ERROR")</f>
        <v>6254</v>
      </c>
      <c r="L61" s="236">
        <f>IFERROR(VLOOKUP($B61,MMWR_TRAD_AGG_RO_COMP[],L$1,0),"ERROR")</f>
        <v>4108</v>
      </c>
      <c r="M61" s="233">
        <f t="shared" si="2"/>
        <v>0.65685960984969616</v>
      </c>
      <c r="N61" s="235">
        <f>IFERROR(VLOOKUP($B61,MMWR_TRAD_AGG_RO_COMP[],N$1,0),"ERROR")</f>
        <v>4204</v>
      </c>
      <c r="O61" s="236">
        <f>IFERROR(VLOOKUP($B61,MMWR_TRAD_AGG_RO_COMP[],O$1,0),"ERROR")</f>
        <v>3624</v>
      </c>
      <c r="P61" s="233">
        <f t="shared" si="3"/>
        <v>0.8620361560418649</v>
      </c>
      <c r="Q61" s="237">
        <f>IFERROR(VLOOKUP($B61,MMWR_TRAD_AGG_RO_COMP[],Q$1,0),"ERROR")</f>
        <v>2</v>
      </c>
      <c r="R61" s="237">
        <f>IFERROR(VLOOKUP($B61,MMWR_TRAD_AGG_RO_COMP[],R$1,0),"ERROR")</f>
        <v>144</v>
      </c>
      <c r="S61" s="202">
        <f>IFERROR(VLOOKUP($B61,MMWR_APP_RO[],S$1,0),"ERROR")</f>
        <v>5120</v>
      </c>
      <c r="T61" s="28"/>
    </row>
    <row r="62" spans="1:20" x14ac:dyDescent="0.2">
      <c r="A62" s="28"/>
      <c r="B62" s="101" t="s">
        <v>380</v>
      </c>
      <c r="C62" s="213">
        <f>IFERROR(VLOOKUP($B62,MMWR_TRAD_AGG_DISTRICT_COMP[],C$1,0),"ERROR")</f>
        <v>67298</v>
      </c>
      <c r="D62" s="198">
        <f>IFERROR(VLOOKUP($B62,MMWR_TRAD_AGG_DISTRICT_COMP[],D$1,0),"ERROR")</f>
        <v>342.9046925614</v>
      </c>
      <c r="E62" s="214">
        <f>IFERROR(VLOOKUP($B62,MMWR_TRAD_AGG_DISTRICT_COMP[],E$1,0),"ERROR")</f>
        <v>72574</v>
      </c>
      <c r="F62" s="219">
        <f>IFERROR(VLOOKUP($B62,MMWR_TRAD_AGG_DISTRICT_COMP[],F$1,0),"ERROR")</f>
        <v>17126</v>
      </c>
      <c r="G62" s="215">
        <f t="shared" si="0"/>
        <v>0.23597982748642765</v>
      </c>
      <c r="H62" s="219">
        <f>IFERROR(VLOOKUP($B62,MMWR_TRAD_AGG_DISTRICT_COMP[],H$1,0),"ERROR")</f>
        <v>95862</v>
      </c>
      <c r="I62" s="219">
        <f>IFERROR(VLOOKUP($B62,MMWR_TRAD_AGG_DISTRICT_COMP[],I$1,0),"ERROR")</f>
        <v>63217</v>
      </c>
      <c r="J62" s="215">
        <f t="shared" si="1"/>
        <v>0.65945838809955981</v>
      </c>
      <c r="K62" s="213">
        <f>IFERROR(VLOOKUP($B62,MMWR_TRAD_AGG_DISTRICT_COMP[],K$1,0),"ERROR")</f>
        <v>27838</v>
      </c>
      <c r="L62" s="213">
        <f>IFERROR(VLOOKUP($B62,MMWR_TRAD_AGG_DISTRICT_COMP[],L$1,0),"ERROR")</f>
        <v>18914</v>
      </c>
      <c r="M62" s="215">
        <f t="shared" si="2"/>
        <v>0.67943099360586245</v>
      </c>
      <c r="N62" s="213">
        <f>IFERROR(VLOOKUP($B62,MMWR_TRAD_AGG_DISTRICT_COMP[],N$1,0),"ERROR")</f>
        <v>28174</v>
      </c>
      <c r="O62" s="213">
        <f>IFERROR(VLOOKUP($B62,MMWR_TRAD_AGG_DISTRICT_COMP[],O$1,0),"ERROR")</f>
        <v>19252</v>
      </c>
      <c r="P62" s="215">
        <f t="shared" si="3"/>
        <v>0.68332505146589051</v>
      </c>
      <c r="Q62" s="213">
        <f>IFERROR(VLOOKUP($B62,MMWR_TRAD_AGG_DISTRICT_COMP[],Q$1,0),"ERROR")</f>
        <v>142</v>
      </c>
      <c r="R62" s="216">
        <f>IFERROR(VLOOKUP($B62,MMWR_TRAD_AGG_DISTRICT_COMP[],R$1,0),"ERROR")</f>
        <v>1147</v>
      </c>
      <c r="S62" s="216">
        <f>IFERROR(VLOOKUP($B62,MMWR_APP_RO[],S$1,0),"ERROR")</f>
        <v>87964</v>
      </c>
      <c r="T62" s="28"/>
    </row>
    <row r="63" spans="1:20" x14ac:dyDescent="0.2">
      <c r="A63" s="28"/>
      <c r="B63" s="108" t="s">
        <v>25</v>
      </c>
      <c r="C63" s="220">
        <f>IFERROR(VLOOKUP($B63,MMWR_TRAD_AGG_RO_COMP[],C$1,0),"ERROR")</f>
        <v>13418</v>
      </c>
      <c r="D63" s="221">
        <f>IFERROR(VLOOKUP($B63,MMWR_TRAD_AGG_RO_COMP[],D$1,0),"ERROR")</f>
        <v>349.13839618420002</v>
      </c>
      <c r="E63" s="222">
        <f>IFERROR(VLOOKUP($B63,MMWR_TRAD_AGG_RO_COMP[],E$1,0),"ERROR")</f>
        <v>17226</v>
      </c>
      <c r="F63" s="223">
        <f>IFERROR(VLOOKUP($B63,MMWR_TRAD_AGG_RO_COMP[],F$1,0),"ERROR")</f>
        <v>4179</v>
      </c>
      <c r="G63" s="224">
        <f t="shared" si="0"/>
        <v>0.24259839777081157</v>
      </c>
      <c r="H63" s="225">
        <f>IFERROR(VLOOKUP($B63,MMWR_TRAD_AGG_RO_COMP[],H$1,0),"ERROR")</f>
        <v>19077</v>
      </c>
      <c r="I63" s="223">
        <f>IFERROR(VLOOKUP($B63,MMWR_TRAD_AGG_RO_COMP[],I$1,0),"ERROR")</f>
        <v>13482</v>
      </c>
      <c r="J63" s="224">
        <f t="shared" si="1"/>
        <v>0.70671489227866013</v>
      </c>
      <c r="K63" s="226">
        <f>IFERROR(VLOOKUP($B63,MMWR_TRAD_AGG_RO_COMP[],K$1,0),"ERROR")</f>
        <v>7431</v>
      </c>
      <c r="L63" s="227">
        <f>IFERROR(VLOOKUP($B63,MMWR_TRAD_AGG_RO_COMP[],L$1,0),"ERROR")</f>
        <v>4873</v>
      </c>
      <c r="M63" s="224">
        <f t="shared" si="2"/>
        <v>0.65576638406674737</v>
      </c>
      <c r="N63" s="226">
        <f>IFERROR(VLOOKUP($B63,MMWR_TRAD_AGG_RO_COMP[],N$1,0),"ERROR")</f>
        <v>10785</v>
      </c>
      <c r="O63" s="227">
        <f>IFERROR(VLOOKUP($B63,MMWR_TRAD_AGG_RO_COMP[],O$1,0),"ERROR")</f>
        <v>8360</v>
      </c>
      <c r="P63" s="224">
        <f t="shared" si="3"/>
        <v>0.77515067222994904</v>
      </c>
      <c r="Q63" s="228">
        <f>IFERROR(VLOOKUP($B63,MMWR_TRAD_AGG_RO_COMP[],Q$1,0),"ERROR")</f>
        <v>62</v>
      </c>
      <c r="R63" s="228">
        <f>IFERROR(VLOOKUP($B63,MMWR_TRAD_AGG_RO_COMP[],R$1,0),"ERROR")</f>
        <v>5</v>
      </c>
      <c r="S63" s="202">
        <f>IFERROR(VLOOKUP($B63,MMWR_APP_RO[],S$1,0),"ERROR")</f>
        <v>17368</v>
      </c>
      <c r="T63" s="28"/>
    </row>
    <row r="64" spans="1:20" x14ac:dyDescent="0.2">
      <c r="A64" s="28"/>
      <c r="B64" s="108" t="s">
        <v>42</v>
      </c>
      <c r="C64" s="220">
        <f>IFERROR(VLOOKUP($B64,MMWR_TRAD_AGG_RO_COMP[],C$1,0),"ERROR")</f>
        <v>10516</v>
      </c>
      <c r="D64" s="221">
        <f>IFERROR(VLOOKUP($B64,MMWR_TRAD_AGG_RO_COMP[],D$1,0),"ERROR")</f>
        <v>292.26987447699997</v>
      </c>
      <c r="E64" s="222">
        <f>IFERROR(VLOOKUP($B64,MMWR_TRAD_AGG_RO_COMP[],E$1,0),"ERROR")</f>
        <v>8861</v>
      </c>
      <c r="F64" s="223">
        <f>IFERROR(VLOOKUP($B64,MMWR_TRAD_AGG_RO_COMP[],F$1,0),"ERROR")</f>
        <v>2404</v>
      </c>
      <c r="G64" s="224">
        <f t="shared" si="0"/>
        <v>0.2713012075386525</v>
      </c>
      <c r="H64" s="225">
        <f>IFERROR(VLOOKUP($B64,MMWR_TRAD_AGG_RO_COMP[],H$1,0),"ERROR")</f>
        <v>19278</v>
      </c>
      <c r="I64" s="223">
        <f>IFERROR(VLOOKUP($B64,MMWR_TRAD_AGG_RO_COMP[],I$1,0),"ERROR")</f>
        <v>12278</v>
      </c>
      <c r="J64" s="224">
        <f t="shared" si="1"/>
        <v>0.63689179375453886</v>
      </c>
      <c r="K64" s="226">
        <f>IFERROR(VLOOKUP($B64,MMWR_TRAD_AGG_RO_COMP[],K$1,0),"ERROR")</f>
        <v>3223</v>
      </c>
      <c r="L64" s="227">
        <f>IFERROR(VLOOKUP($B64,MMWR_TRAD_AGG_RO_COMP[],L$1,0),"ERROR")</f>
        <v>2191</v>
      </c>
      <c r="M64" s="224">
        <f t="shared" si="2"/>
        <v>0.67980142724170023</v>
      </c>
      <c r="N64" s="226">
        <f>IFERROR(VLOOKUP($B64,MMWR_TRAD_AGG_RO_COMP[],N$1,0),"ERROR")</f>
        <v>1313</v>
      </c>
      <c r="O64" s="227">
        <f>IFERROR(VLOOKUP($B64,MMWR_TRAD_AGG_RO_COMP[],O$1,0),"ERROR")</f>
        <v>772</v>
      </c>
      <c r="P64" s="224">
        <f t="shared" si="3"/>
        <v>0.58796648895658798</v>
      </c>
      <c r="Q64" s="228">
        <f>IFERROR(VLOOKUP($B64,MMWR_TRAD_AGG_RO_COMP[],Q$1,0),"ERROR")</f>
        <v>1</v>
      </c>
      <c r="R64" s="228">
        <f>IFERROR(VLOOKUP($B64,MMWR_TRAD_AGG_RO_COMP[],R$1,0),"ERROR")</f>
        <v>52</v>
      </c>
      <c r="S64" s="202">
        <f>IFERROR(VLOOKUP($B64,MMWR_APP_RO[],S$1,0),"ERROR")</f>
        <v>12768</v>
      </c>
      <c r="T64" s="28"/>
    </row>
    <row r="65" spans="1:20" x14ac:dyDescent="0.2">
      <c r="A65" s="28"/>
      <c r="B65" s="108" t="s">
        <v>56</v>
      </c>
      <c r="C65" s="220">
        <f>IFERROR(VLOOKUP($B65,MMWR_TRAD_AGG_RO_COMP[],C$1,0),"ERROR")</f>
        <v>7745</v>
      </c>
      <c r="D65" s="221">
        <f>IFERROR(VLOOKUP($B65,MMWR_TRAD_AGG_RO_COMP[],D$1,0),"ERROR")</f>
        <v>498.34551323429997</v>
      </c>
      <c r="E65" s="222">
        <f>IFERROR(VLOOKUP($B65,MMWR_TRAD_AGG_RO_COMP[],E$1,0),"ERROR")</f>
        <v>4197</v>
      </c>
      <c r="F65" s="223">
        <f>IFERROR(VLOOKUP($B65,MMWR_TRAD_AGG_RO_COMP[],F$1,0),"ERROR")</f>
        <v>1087</v>
      </c>
      <c r="G65" s="224">
        <f t="shared" si="0"/>
        <v>0.2589945198951632</v>
      </c>
      <c r="H65" s="225">
        <f>IFERROR(VLOOKUP($B65,MMWR_TRAD_AGG_RO_COMP[],H$1,0),"ERROR")</f>
        <v>12422</v>
      </c>
      <c r="I65" s="223">
        <f>IFERROR(VLOOKUP($B65,MMWR_TRAD_AGG_RO_COMP[],I$1,0),"ERROR")</f>
        <v>8024</v>
      </c>
      <c r="J65" s="224">
        <f t="shared" si="1"/>
        <v>0.64595073257124458</v>
      </c>
      <c r="K65" s="226">
        <f>IFERROR(VLOOKUP($B65,MMWR_TRAD_AGG_RO_COMP[],K$1,0),"ERROR")</f>
        <v>3748</v>
      </c>
      <c r="L65" s="227">
        <f>IFERROR(VLOOKUP($B65,MMWR_TRAD_AGG_RO_COMP[],L$1,0),"ERROR")</f>
        <v>3177</v>
      </c>
      <c r="M65" s="224">
        <f t="shared" si="2"/>
        <v>0.84765208110992529</v>
      </c>
      <c r="N65" s="226">
        <f>IFERROR(VLOOKUP($B65,MMWR_TRAD_AGG_RO_COMP[],N$1,0),"ERROR")</f>
        <v>828</v>
      </c>
      <c r="O65" s="227">
        <f>IFERROR(VLOOKUP($B65,MMWR_TRAD_AGG_RO_COMP[],O$1,0),"ERROR")</f>
        <v>382</v>
      </c>
      <c r="P65" s="224">
        <f t="shared" si="3"/>
        <v>0.46135265700483091</v>
      </c>
      <c r="Q65" s="228">
        <f>IFERROR(VLOOKUP($B65,MMWR_TRAD_AGG_RO_COMP[],Q$1,0),"ERROR")</f>
        <v>69</v>
      </c>
      <c r="R65" s="228">
        <f>IFERROR(VLOOKUP($B65,MMWR_TRAD_AGG_RO_COMP[],R$1,0),"ERROR")</f>
        <v>244</v>
      </c>
      <c r="S65" s="202">
        <f>IFERROR(VLOOKUP($B65,MMWR_APP_RO[],S$1,0),"ERROR")</f>
        <v>4847</v>
      </c>
      <c r="T65" s="28"/>
    </row>
    <row r="66" spans="1:20" x14ac:dyDescent="0.2">
      <c r="A66" s="28"/>
      <c r="B66" s="108" t="s">
        <v>60</v>
      </c>
      <c r="C66" s="220">
        <f>IFERROR(VLOOKUP($B66,MMWR_TRAD_AGG_RO_COMP[],C$1,0),"ERROR")</f>
        <v>12441</v>
      </c>
      <c r="D66" s="221">
        <f>IFERROR(VLOOKUP($B66,MMWR_TRAD_AGG_RO_COMP[],D$1,0),"ERROR")</f>
        <v>371.80869705010002</v>
      </c>
      <c r="E66" s="222">
        <f>IFERROR(VLOOKUP($B66,MMWR_TRAD_AGG_RO_COMP[],E$1,0),"ERROR")</f>
        <v>7438</v>
      </c>
      <c r="F66" s="223">
        <f>IFERROR(VLOOKUP($B66,MMWR_TRAD_AGG_RO_COMP[],F$1,0),"ERROR")</f>
        <v>1251</v>
      </c>
      <c r="G66" s="224">
        <f t="shared" si="0"/>
        <v>0.16819037375638612</v>
      </c>
      <c r="H66" s="225">
        <f>IFERROR(VLOOKUP($B66,MMWR_TRAD_AGG_RO_COMP[],H$1,0),"ERROR")</f>
        <v>13876</v>
      </c>
      <c r="I66" s="223">
        <f>IFERROR(VLOOKUP($B66,MMWR_TRAD_AGG_RO_COMP[],I$1,0),"ERROR")</f>
        <v>10083</v>
      </c>
      <c r="J66" s="224">
        <f t="shared" si="1"/>
        <v>0.72665033150763914</v>
      </c>
      <c r="K66" s="226">
        <f>IFERROR(VLOOKUP($B66,MMWR_TRAD_AGG_RO_COMP[],K$1,0),"ERROR")</f>
        <v>4742</v>
      </c>
      <c r="L66" s="227">
        <f>IFERROR(VLOOKUP($B66,MMWR_TRAD_AGG_RO_COMP[],L$1,0),"ERROR")</f>
        <v>3769</v>
      </c>
      <c r="M66" s="224">
        <f t="shared" si="2"/>
        <v>0.79481231547870101</v>
      </c>
      <c r="N66" s="226">
        <f>IFERROR(VLOOKUP($B66,MMWR_TRAD_AGG_RO_COMP[],N$1,0),"ERROR")</f>
        <v>1733</v>
      </c>
      <c r="O66" s="227">
        <f>IFERROR(VLOOKUP($B66,MMWR_TRAD_AGG_RO_COMP[],O$1,0),"ERROR")</f>
        <v>1297</v>
      </c>
      <c r="P66" s="224">
        <f t="shared" si="3"/>
        <v>0.74841315637622619</v>
      </c>
      <c r="Q66" s="228">
        <f>IFERROR(VLOOKUP($B66,MMWR_TRAD_AGG_RO_COMP[],Q$1,0),"ERROR")</f>
        <v>0</v>
      </c>
      <c r="R66" s="228">
        <f>IFERROR(VLOOKUP($B66,MMWR_TRAD_AGG_RO_COMP[],R$1,0),"ERROR")</f>
        <v>356</v>
      </c>
      <c r="S66" s="202">
        <f>IFERROR(VLOOKUP($B66,MMWR_APP_RO[],S$1,0),"ERROR")</f>
        <v>10270</v>
      </c>
      <c r="T66" s="28"/>
    </row>
    <row r="67" spans="1:20" x14ac:dyDescent="0.2">
      <c r="A67" s="28"/>
      <c r="B67" s="108" t="s">
        <v>61</v>
      </c>
      <c r="C67" s="220">
        <f>IFERROR(VLOOKUP($B67,MMWR_TRAD_AGG_RO_COMP[],C$1,0),"ERROR")</f>
        <v>4905</v>
      </c>
      <c r="D67" s="221">
        <f>IFERROR(VLOOKUP($B67,MMWR_TRAD_AGG_RO_COMP[],D$1,0),"ERROR")</f>
        <v>232.9321100917</v>
      </c>
      <c r="E67" s="222">
        <f>IFERROR(VLOOKUP($B67,MMWR_TRAD_AGG_RO_COMP[],E$1,0),"ERROR")</f>
        <v>9670</v>
      </c>
      <c r="F67" s="223">
        <f>IFERROR(VLOOKUP($B67,MMWR_TRAD_AGG_RO_COMP[],F$1,0),"ERROR")</f>
        <v>1910</v>
      </c>
      <c r="G67" s="224">
        <f t="shared" si="0"/>
        <v>0.19751809720785937</v>
      </c>
      <c r="H67" s="225">
        <f>IFERROR(VLOOKUP($B67,MMWR_TRAD_AGG_RO_COMP[],H$1,0),"ERROR")</f>
        <v>8398</v>
      </c>
      <c r="I67" s="223">
        <f>IFERROR(VLOOKUP($B67,MMWR_TRAD_AGG_RO_COMP[],I$1,0),"ERROR")</f>
        <v>4158</v>
      </c>
      <c r="J67" s="224">
        <f t="shared" si="1"/>
        <v>0.49511788521076444</v>
      </c>
      <c r="K67" s="226">
        <f>IFERROR(VLOOKUP($B67,MMWR_TRAD_AGG_RO_COMP[],K$1,0),"ERROR")</f>
        <v>3361</v>
      </c>
      <c r="L67" s="227">
        <f>IFERROR(VLOOKUP($B67,MMWR_TRAD_AGG_RO_COMP[],L$1,0),"ERROR")</f>
        <v>2057</v>
      </c>
      <c r="M67" s="224">
        <f t="shared" si="2"/>
        <v>0.61202023207378753</v>
      </c>
      <c r="N67" s="226">
        <f>IFERROR(VLOOKUP($B67,MMWR_TRAD_AGG_RO_COMP[],N$1,0),"ERROR")</f>
        <v>1478</v>
      </c>
      <c r="O67" s="227">
        <f>IFERROR(VLOOKUP($B67,MMWR_TRAD_AGG_RO_COMP[],O$1,0),"ERROR")</f>
        <v>1150</v>
      </c>
      <c r="P67" s="224">
        <f t="shared" si="3"/>
        <v>0.77807848443843031</v>
      </c>
      <c r="Q67" s="228">
        <f>IFERROR(VLOOKUP($B67,MMWR_TRAD_AGG_RO_COMP[],Q$1,0),"ERROR")</f>
        <v>1</v>
      </c>
      <c r="R67" s="228">
        <f>IFERROR(VLOOKUP($B67,MMWR_TRAD_AGG_RO_COMP[],R$1,0),"ERROR")</f>
        <v>244</v>
      </c>
      <c r="S67" s="202">
        <f>IFERROR(VLOOKUP($B67,MMWR_APP_RO[],S$1,0),"ERROR")</f>
        <v>6548</v>
      </c>
      <c r="T67" s="28"/>
    </row>
    <row r="68" spans="1:20" x14ac:dyDescent="0.2">
      <c r="A68" s="28"/>
      <c r="B68" s="108" t="s">
        <v>75</v>
      </c>
      <c r="C68" s="220">
        <f>IFERROR(VLOOKUP($B68,MMWR_TRAD_AGG_RO_COMP[],C$1,0),"ERROR")</f>
        <v>2587</v>
      </c>
      <c r="D68" s="221">
        <f>IFERROR(VLOOKUP($B68,MMWR_TRAD_AGG_RO_COMP[],D$1,0),"ERROR")</f>
        <v>389.4797062234</v>
      </c>
      <c r="E68" s="222">
        <f>IFERROR(VLOOKUP($B68,MMWR_TRAD_AGG_RO_COMP[],E$1,0),"ERROR")</f>
        <v>3466</v>
      </c>
      <c r="F68" s="223">
        <f>IFERROR(VLOOKUP($B68,MMWR_TRAD_AGG_RO_COMP[],F$1,0),"ERROR")</f>
        <v>856</v>
      </c>
      <c r="G68" s="224">
        <f t="shared" si="0"/>
        <v>0.24697057126370456</v>
      </c>
      <c r="H68" s="225">
        <f>IFERROR(VLOOKUP($B68,MMWR_TRAD_AGG_RO_COMP[],H$1,0),"ERROR")</f>
        <v>3817</v>
      </c>
      <c r="I68" s="223">
        <f>IFERROR(VLOOKUP($B68,MMWR_TRAD_AGG_RO_COMP[],I$1,0),"ERROR")</f>
        <v>3033</v>
      </c>
      <c r="J68" s="224">
        <f t="shared" si="1"/>
        <v>0.79460309143306262</v>
      </c>
      <c r="K68" s="226">
        <f>IFERROR(VLOOKUP($B68,MMWR_TRAD_AGG_RO_COMP[],K$1,0),"ERROR")</f>
        <v>870</v>
      </c>
      <c r="L68" s="227">
        <f>IFERROR(VLOOKUP($B68,MMWR_TRAD_AGG_RO_COMP[],L$1,0),"ERROR")</f>
        <v>637</v>
      </c>
      <c r="M68" s="224">
        <f t="shared" si="2"/>
        <v>0.73218390804597699</v>
      </c>
      <c r="N68" s="226">
        <f>IFERROR(VLOOKUP($B68,MMWR_TRAD_AGG_RO_COMP[],N$1,0),"ERROR")</f>
        <v>930</v>
      </c>
      <c r="O68" s="227">
        <f>IFERROR(VLOOKUP($B68,MMWR_TRAD_AGG_RO_COMP[],O$1,0),"ERROR")</f>
        <v>733</v>
      </c>
      <c r="P68" s="224">
        <f t="shared" si="3"/>
        <v>0.78817204301075272</v>
      </c>
      <c r="Q68" s="228">
        <f>IFERROR(VLOOKUP($B68,MMWR_TRAD_AGG_RO_COMP[],Q$1,0),"ERROR")</f>
        <v>0</v>
      </c>
      <c r="R68" s="228">
        <f>IFERROR(VLOOKUP($B68,MMWR_TRAD_AGG_RO_COMP[],R$1,0),"ERROR")</f>
        <v>2</v>
      </c>
      <c r="S68" s="202">
        <f>IFERROR(VLOOKUP($B68,MMWR_APP_RO[],S$1,0),"ERROR")</f>
        <v>6167</v>
      </c>
      <c r="T68" s="28"/>
    </row>
    <row r="69" spans="1:20" x14ac:dyDescent="0.2">
      <c r="A69" s="28"/>
      <c r="B69" s="116" t="s">
        <v>80</v>
      </c>
      <c r="C69" s="229">
        <f>IFERROR(VLOOKUP($B69,MMWR_TRAD_AGG_RO_COMP[],C$1,0),"ERROR")</f>
        <v>15686</v>
      </c>
      <c r="D69" s="230">
        <f>IFERROR(VLOOKUP($B69,MMWR_TRAD_AGG_RO_COMP[],D$1,0),"ERROR")</f>
        <v>298.55138339920001</v>
      </c>
      <c r="E69" s="231">
        <f>IFERROR(VLOOKUP($B69,MMWR_TRAD_AGG_RO_COMP[],E$1,0),"ERROR")</f>
        <v>21716</v>
      </c>
      <c r="F69" s="232">
        <f>IFERROR(VLOOKUP($B69,MMWR_TRAD_AGG_RO_COMP[],F$1,0),"ERROR")</f>
        <v>5439</v>
      </c>
      <c r="G69" s="233">
        <f t="shared" si="0"/>
        <v>0.25046048996131887</v>
      </c>
      <c r="H69" s="234">
        <f>IFERROR(VLOOKUP($B69,MMWR_TRAD_AGG_RO_COMP[],H$1,0),"ERROR")</f>
        <v>18994</v>
      </c>
      <c r="I69" s="232">
        <f>IFERROR(VLOOKUP($B69,MMWR_TRAD_AGG_RO_COMP[],I$1,0),"ERROR")</f>
        <v>12159</v>
      </c>
      <c r="J69" s="233">
        <f t="shared" si="1"/>
        <v>0.64014952090133725</v>
      </c>
      <c r="K69" s="235">
        <f>IFERROR(VLOOKUP($B69,MMWR_TRAD_AGG_RO_COMP[],K$1,0),"ERROR")</f>
        <v>4463</v>
      </c>
      <c r="L69" s="236">
        <f>IFERROR(VLOOKUP($B69,MMWR_TRAD_AGG_RO_COMP[],L$1,0),"ERROR")</f>
        <v>2210</v>
      </c>
      <c r="M69" s="233">
        <f t="shared" si="2"/>
        <v>0.49518261259242663</v>
      </c>
      <c r="N69" s="235">
        <f>IFERROR(VLOOKUP($B69,MMWR_TRAD_AGG_RO_COMP[],N$1,0),"ERROR")</f>
        <v>11107</v>
      </c>
      <c r="O69" s="236">
        <f>IFERROR(VLOOKUP($B69,MMWR_TRAD_AGG_RO_COMP[],O$1,0),"ERROR")</f>
        <v>6558</v>
      </c>
      <c r="P69" s="233">
        <f t="shared" si="3"/>
        <v>0.59043846223102547</v>
      </c>
      <c r="Q69" s="237">
        <f>IFERROR(VLOOKUP($B69,MMWR_TRAD_AGG_RO_COMP[],Q$1,0),"ERROR")</f>
        <v>9</v>
      </c>
      <c r="R69" s="237">
        <f>IFERROR(VLOOKUP($B69,MMWR_TRAD_AGG_RO_COMP[],R$1,0),"ERROR")</f>
        <v>244</v>
      </c>
      <c r="S69" s="202">
        <f>IFERROR(VLOOKUP($B69,MMWR_APP_RO[],S$1,0),"ERROR")</f>
        <v>29996</v>
      </c>
      <c r="T69" s="28"/>
    </row>
    <row r="70" spans="1:20" x14ac:dyDescent="0.2">
      <c r="A70" s="28"/>
      <c r="B70" s="101" t="s">
        <v>8</v>
      </c>
      <c r="C70" s="213">
        <f>IFERROR(VLOOKUP($B70,MMWR_TRAD_AGG_RO_COMP[],C$1,0),"ERROR")</f>
        <v>56</v>
      </c>
      <c r="D70" s="198">
        <f>IFERROR(VLOOKUP($B70,MMWR_TRAD_AGG_RO_COMP[],D$1,0),"ERROR")</f>
        <v>841.92857142859998</v>
      </c>
      <c r="E70" s="214">
        <f>IFERROR(VLOOKUP($B70,MMWR_TRAD_AGG_RO_COMP[],E$1,0),"ERROR")</f>
        <v>30</v>
      </c>
      <c r="F70" s="219">
        <f>IFERROR(VLOOKUP($B70,MMWR_TRAD_AGG_RO_COMP[],F$1,0),"ERROR")</f>
        <v>1</v>
      </c>
      <c r="G70" s="215">
        <f>IFERROR(F70/E70,"0%")</f>
        <v>3.3333333333333333E-2</v>
      </c>
      <c r="H70" s="219">
        <f>IFERROR(VLOOKUP($B70,MMWR_TRAD_AGG_RO_COMP[],H$1,0),"ERROR")</f>
        <v>60</v>
      </c>
      <c r="I70" s="219">
        <f>IFERROR(VLOOKUP($B70,MMWR_TRAD_AGG_RO_COMP[],I$1,0),"ERROR")</f>
        <v>52</v>
      </c>
      <c r="J70" s="215">
        <f>IFERROR(I70/H70,"0%")</f>
        <v>0.8666666666666667</v>
      </c>
      <c r="K70" s="213">
        <f>IFERROR(VLOOKUP($B70,MMWR_TRAD_AGG_RO_COMP[],K$1,0),"ERROR")</f>
        <v>9</v>
      </c>
      <c r="L70" s="213">
        <f>IFERROR(VLOOKUP($B70,MMWR_TRAD_AGG_RO_COMP[],L$1,0),"ERROR")</f>
        <v>7</v>
      </c>
      <c r="M70" s="215">
        <f>IFERROR(L70/K70,"0%")</f>
        <v>0.77777777777777779</v>
      </c>
      <c r="N70" s="213">
        <f>IFERROR(VLOOKUP($B70,MMWR_TRAD_AGG_RO_COMP[],N$1,0),"ERROR")</f>
        <v>47847</v>
      </c>
      <c r="O70" s="213">
        <f>IFERROR(VLOOKUP($B70,MMWR_TRAD_AGG_RO_COMP[],O$1,0),"ERROR")</f>
        <v>21011</v>
      </c>
      <c r="P70" s="215">
        <f>IFERROR(O70/N70,"0%")</f>
        <v>0.43912889000355299</v>
      </c>
      <c r="Q70" s="213">
        <f>IFERROR(VLOOKUP($B70,MMWR_TRAD_AGG_RO_COMP[],Q$1,0),"ERROR")</f>
        <v>0</v>
      </c>
      <c r="R70" s="216">
        <f>IFERROR(VLOOKUP($B70,MMWR_TRAD_AGG_RO_COMP[],R$1,0),"ERROR")</f>
        <v>1</v>
      </c>
      <c r="S70" s="216">
        <f>IFERROR(VLOOKUP($B70,MMWR_APP_RO[],S$1,0),"ERROR")</f>
        <v>10935</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42" t="s">
        <v>487</v>
      </c>
      <c r="D72" s="443"/>
      <c r="E72" s="443"/>
      <c r="F72" s="443"/>
      <c r="G72" s="443"/>
      <c r="H72" s="443"/>
      <c r="I72" s="443"/>
      <c r="J72" s="443"/>
      <c r="K72" s="443"/>
      <c r="L72" s="443"/>
      <c r="M72" s="443"/>
      <c r="N72" s="443"/>
      <c r="O72" s="443"/>
      <c r="P72" s="443"/>
      <c r="Q72" s="443"/>
      <c r="R72" s="443"/>
      <c r="S72" s="444"/>
      <c r="T72" s="28"/>
    </row>
    <row r="73" spans="1:20" x14ac:dyDescent="0.2">
      <c r="A73" s="25"/>
      <c r="B73" s="117"/>
      <c r="C73" s="445" t="s">
        <v>228</v>
      </c>
      <c r="D73" s="446"/>
      <c r="E73" s="447" t="s">
        <v>208</v>
      </c>
      <c r="F73" s="448"/>
      <c r="G73" s="449"/>
      <c r="H73" s="447" t="s">
        <v>7</v>
      </c>
      <c r="I73" s="448"/>
      <c r="J73" s="449"/>
      <c r="K73" s="447" t="s">
        <v>33</v>
      </c>
      <c r="L73" s="448"/>
      <c r="M73" s="449"/>
      <c r="N73" s="447" t="s">
        <v>8</v>
      </c>
      <c r="O73" s="448"/>
      <c r="P73" s="449"/>
      <c r="Q73" s="81" t="s">
        <v>9</v>
      </c>
      <c r="R73" s="82" t="s">
        <v>10</v>
      </c>
      <c r="S73" s="82" t="s">
        <v>11</v>
      </c>
      <c r="T73" s="28"/>
    </row>
    <row r="74" spans="1:20" ht="38.25" x14ac:dyDescent="0.2">
      <c r="A74" s="91"/>
      <c r="B74" s="118"/>
      <c r="C74" s="84" t="s">
        <v>12</v>
      </c>
      <c r="D74" s="85" t="s">
        <v>137</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488</v>
      </c>
      <c r="T74" s="28"/>
    </row>
    <row r="75" spans="1:20" x14ac:dyDescent="0.2">
      <c r="A75" s="25"/>
      <c r="B75" s="101" t="s">
        <v>462</v>
      </c>
      <c r="C75" s="238">
        <f>IFERROR(VLOOKUP($B75,MMWR_TRAD_AGG_RO_PEN[],C$1,0),"ERROR")</f>
        <v>18585</v>
      </c>
      <c r="D75" s="239">
        <f>IFERROR(VLOOKUP($B75,MMWR_TRAD_AGG_RO_PEN[],D$1,0),"ERROR")</f>
        <v>86.7603443637</v>
      </c>
      <c r="E75" s="238">
        <f>IFERROR(VLOOKUP($B75,MMWR_TRAD_AGG_RO_PEN[],E$1,0),"ERROR")</f>
        <v>33094</v>
      </c>
      <c r="F75" s="238">
        <f>IFERROR(VLOOKUP($B75,MMWR_TRAD_AGG_RO_PEN[],F$1,0),"ERROR")</f>
        <v>4580</v>
      </c>
      <c r="G75" s="240">
        <f>IFERROR(F75/E75,"0%")</f>
        <v>0.13839366652565419</v>
      </c>
      <c r="H75" s="238">
        <f>IFERROR(VLOOKUP($B75,MMWR_TRAD_AGG_RO_PEN[],H$1,0),"ERROR")</f>
        <v>27319</v>
      </c>
      <c r="I75" s="238">
        <f>IFERROR(VLOOKUP($B75,MMWR_TRAD_AGG_RO_PEN[],I$1,0),"ERROR")</f>
        <v>6796</v>
      </c>
      <c r="J75" s="240">
        <f>IFERROR(I75/H75,"0%")</f>
        <v>0.24876459606867016</v>
      </c>
      <c r="K75" s="238">
        <f>IFERROR(VLOOKUP($B75,MMWR_TRAD_AGG_RO_PEN[],K$1,0),"ERROR")</f>
        <v>612</v>
      </c>
      <c r="L75" s="238">
        <f>IFERROR(VLOOKUP($B75,MMWR_TRAD_AGG_RO_PEN[],L$1,0),"ERROR")</f>
        <v>573</v>
      </c>
      <c r="M75" s="240">
        <f>IFERROR(L75/K75,"0%")</f>
        <v>0.93627450980392157</v>
      </c>
      <c r="N75" s="238">
        <f>IFERROR(VLOOKUP($B75,MMWR_TRAD_AGG_RO_PEN[],N$1,0),"ERROR")</f>
        <v>1798</v>
      </c>
      <c r="O75" s="238">
        <f>IFERROR(VLOOKUP($B75,MMWR_TRAD_AGG_RO_PEN[],O$1,0),"ERROR")</f>
        <v>571</v>
      </c>
      <c r="P75" s="240">
        <f>IFERROR(O75/N75,"0%")</f>
        <v>0.31757508342602891</v>
      </c>
      <c r="Q75" s="238">
        <f>IFERROR(VLOOKUP($B75,MMWR_TRAD_AGG_RO_PEN[],Q$1,0),"ERROR")</f>
        <v>9330</v>
      </c>
      <c r="R75" s="241">
        <f>IFERROR(VLOOKUP($B75,MMWR_TRAD_AGG_RO_PEN[],R$1,0),"ERROR")</f>
        <v>5800</v>
      </c>
      <c r="S75" s="241">
        <f>IFERROR(VLOOKUP($B75,MMWR_APP_RO[],S$1,0),"ERROR")</f>
        <v>7630</v>
      </c>
      <c r="T75" s="28"/>
    </row>
    <row r="76" spans="1:20" x14ac:dyDescent="0.2">
      <c r="A76" s="107"/>
      <c r="B76" s="122" t="s">
        <v>213</v>
      </c>
      <c r="C76" s="242">
        <f>IFERROR(VLOOKUP($B76,MMWR_TRAD_AGG_RO_PEN[],C$1,0),"ERROR")</f>
        <v>13147</v>
      </c>
      <c r="D76" s="243">
        <f>IFERROR(VLOOKUP($B76,MMWR_TRAD_AGG_RO_PEN[],D$1,0),"ERROR")</f>
        <v>103.79926979539999</v>
      </c>
      <c r="E76" s="242">
        <f>IFERROR(VLOOKUP($B76,MMWR_TRAD_AGG_RO_PEN[],E$1,0),"ERROR")</f>
        <v>17797</v>
      </c>
      <c r="F76" s="242">
        <f>IFERROR(VLOOKUP($B76,MMWR_TRAD_AGG_RO_PEN[],F$1,0),"ERROR")</f>
        <v>3607</v>
      </c>
      <c r="G76" s="224">
        <f>IFERROR(F76/E76,"0%")</f>
        <v>0.20267460808001347</v>
      </c>
      <c r="H76" s="242">
        <f>IFERROR(VLOOKUP($B76,MMWR_TRAD_AGG_RO_PEN[],H$1,0),"ERROR")</f>
        <v>18125</v>
      </c>
      <c r="I76" s="242">
        <f>IFERROR(VLOOKUP($B76,MMWR_TRAD_AGG_RO_PEN[],I$1,0),"ERROR")</f>
        <v>6231</v>
      </c>
      <c r="J76" s="224">
        <f>IFERROR(I76/H76,"0%")</f>
        <v>0.34377931034482756</v>
      </c>
      <c r="K76" s="242">
        <f>IFERROR(VLOOKUP($B76,MMWR_TRAD_AGG_RO_PEN[],K$1,0),"ERROR")</f>
        <v>356</v>
      </c>
      <c r="L76" s="242">
        <f>IFERROR(VLOOKUP($B76,MMWR_TRAD_AGG_RO_PEN[],L$1,0),"ERROR")</f>
        <v>346</v>
      </c>
      <c r="M76" s="224">
        <f>IFERROR(L76/K76,"0%")</f>
        <v>0.9719101123595506</v>
      </c>
      <c r="N76" s="242">
        <f>IFERROR(VLOOKUP($B76,MMWR_TRAD_AGG_RO_PEN[],N$1,0),"ERROR")</f>
        <v>1016</v>
      </c>
      <c r="O76" s="242">
        <f>IFERROR(VLOOKUP($B76,MMWR_TRAD_AGG_RO_PEN[],O$1,0),"ERROR")</f>
        <v>304</v>
      </c>
      <c r="P76" s="224">
        <f>IFERROR(O76/N76,"0%")</f>
        <v>0.29921259842519687</v>
      </c>
      <c r="Q76" s="242">
        <f>IFERROR(VLOOKUP($B76,MMWR_TRAD_AGG_RO_PEN[],Q$1,0),"ERROR")</f>
        <v>2139</v>
      </c>
      <c r="R76" s="242">
        <f>IFERROR(VLOOKUP($B76,MMWR_TRAD_AGG_RO_PEN[],R$1,0),"ERROR")</f>
        <v>4303</v>
      </c>
      <c r="S76" s="244">
        <f>IFERROR(VLOOKUP($B76,MMWR_APP_RO[],S$1,0),"ERROR")</f>
        <v>2918</v>
      </c>
      <c r="T76" s="28"/>
    </row>
    <row r="77" spans="1:20" x14ac:dyDescent="0.2">
      <c r="A77" s="107"/>
      <c r="B77" s="122" t="s">
        <v>212</v>
      </c>
      <c r="C77" s="242">
        <f>IFERROR(VLOOKUP($B77,MMWR_TRAD_AGG_RO_PEN[],C$1,0),"ERROR")</f>
        <v>3060</v>
      </c>
      <c r="D77" s="243">
        <f>IFERROR(VLOOKUP($B77,MMWR_TRAD_AGG_RO_PEN[],D$1,0),"ERROR")</f>
        <v>51.464052287599998</v>
      </c>
      <c r="E77" s="242">
        <f>IFERROR(VLOOKUP($B77,MMWR_TRAD_AGG_RO_PEN[],E$1,0),"ERROR")</f>
        <v>8094</v>
      </c>
      <c r="F77" s="242">
        <f>IFERROR(VLOOKUP($B77,MMWR_TRAD_AGG_RO_PEN[],F$1,0),"ERROR")</f>
        <v>646</v>
      </c>
      <c r="G77" s="224">
        <f>IFERROR(F77/E77,"0%")</f>
        <v>7.9812206572769953E-2</v>
      </c>
      <c r="H77" s="242">
        <f>IFERROR(VLOOKUP($B77,MMWR_TRAD_AGG_RO_PEN[],H$1,0),"ERROR")</f>
        <v>5067</v>
      </c>
      <c r="I77" s="242">
        <f>IFERROR(VLOOKUP($B77,MMWR_TRAD_AGG_RO_PEN[],I$1,0),"ERROR")</f>
        <v>205</v>
      </c>
      <c r="J77" s="224">
        <f>IFERROR(I77/H77,"0%")</f>
        <v>4.0457864614170121E-2</v>
      </c>
      <c r="K77" s="242">
        <f>IFERROR(VLOOKUP($B77,MMWR_TRAD_AGG_RO_PEN[],K$1,0),"ERROR")</f>
        <v>3</v>
      </c>
      <c r="L77" s="242">
        <f>IFERROR(VLOOKUP($B77,MMWR_TRAD_AGG_RO_PEN[],L$1,0),"ERROR")</f>
        <v>3</v>
      </c>
      <c r="M77" s="224">
        <f>IFERROR(L77/K77,"0%")</f>
        <v>1</v>
      </c>
      <c r="N77" s="242">
        <f>IFERROR(VLOOKUP($B77,MMWR_TRAD_AGG_RO_PEN[],N$1,0),"ERROR")</f>
        <v>452</v>
      </c>
      <c r="O77" s="242">
        <f>IFERROR(VLOOKUP($B77,MMWR_TRAD_AGG_RO_PEN[],O$1,0),"ERROR")</f>
        <v>74</v>
      </c>
      <c r="P77" s="224">
        <f>IFERROR(O77/N77,"0%")</f>
        <v>0.16371681415929204</v>
      </c>
      <c r="Q77" s="242">
        <f>IFERROR(VLOOKUP($B77,MMWR_TRAD_AGG_RO_PEN[],Q$1,0),"ERROR")</f>
        <v>985</v>
      </c>
      <c r="R77" s="242">
        <f>IFERROR(VLOOKUP($B77,MMWR_TRAD_AGG_RO_PEN[],R$1,0),"ERROR")</f>
        <v>742</v>
      </c>
      <c r="S77" s="244">
        <f>IFERROR(VLOOKUP($B77,MMWR_APP_RO[],S$1,0),"ERROR")</f>
        <v>2759</v>
      </c>
      <c r="T77" s="28"/>
    </row>
    <row r="78" spans="1:20" x14ac:dyDescent="0.2">
      <c r="A78" s="107"/>
      <c r="B78" s="122" t="s">
        <v>215</v>
      </c>
      <c r="C78" s="242">
        <f>IFERROR(VLOOKUP($B78,MMWR_TRAD_AGG_RO_PEN[],C$1,0),"ERROR")</f>
        <v>2378</v>
      </c>
      <c r="D78" s="243">
        <f>IFERROR(VLOOKUP($B78,MMWR_TRAD_AGG_RO_PEN[],D$1,0),"ERROR")</f>
        <v>37.978132884799997</v>
      </c>
      <c r="E78" s="242">
        <f>IFERROR(VLOOKUP($B78,MMWR_TRAD_AGG_RO_PEN[],E$1,0),"ERROR")</f>
        <v>6951</v>
      </c>
      <c r="F78" s="242">
        <f>IFERROR(VLOOKUP($B78,MMWR_TRAD_AGG_RO_PEN[],F$1,0),"ERROR")</f>
        <v>223</v>
      </c>
      <c r="G78" s="224">
        <f>IFERROR(F78/E78,"0%")</f>
        <v>3.2081714861171055E-2</v>
      </c>
      <c r="H78" s="242">
        <f>IFERROR(VLOOKUP($B78,MMWR_TRAD_AGG_RO_PEN[],H$1,0),"ERROR")</f>
        <v>3665</v>
      </c>
      <c r="I78" s="242">
        <f>IFERROR(VLOOKUP($B78,MMWR_TRAD_AGG_RO_PEN[],I$1,0),"ERROR")</f>
        <v>39</v>
      </c>
      <c r="J78" s="224">
        <f>IFERROR(I78/H78,"0%")</f>
        <v>1.0641200545702592E-2</v>
      </c>
      <c r="K78" s="242">
        <f>IFERROR(VLOOKUP($B78,MMWR_TRAD_AGG_RO_PEN[],K$1,0),"ERROR")</f>
        <v>27</v>
      </c>
      <c r="L78" s="242">
        <f>IFERROR(VLOOKUP($B78,MMWR_TRAD_AGG_RO_PEN[],L$1,0),"ERROR")</f>
        <v>4</v>
      </c>
      <c r="M78" s="224">
        <f>IFERROR(L78/K78,"0%")</f>
        <v>0.14814814814814814</v>
      </c>
      <c r="N78" s="242">
        <f>IFERROR(VLOOKUP($B78,MMWR_TRAD_AGG_RO_PEN[],N$1,0),"ERROR")</f>
        <v>124</v>
      </c>
      <c r="O78" s="242">
        <f>IFERROR(VLOOKUP($B78,MMWR_TRAD_AGG_RO_PEN[],O$1,0),"ERROR")</f>
        <v>37</v>
      </c>
      <c r="P78" s="224">
        <f>IFERROR(O78/N78,"0%")</f>
        <v>0.29838709677419356</v>
      </c>
      <c r="Q78" s="242">
        <f>IFERROR(VLOOKUP($B78,MMWR_TRAD_AGG_RO_PEN[],Q$1,0),"ERROR")</f>
        <v>6192</v>
      </c>
      <c r="R78" s="242">
        <f>IFERROR(VLOOKUP($B78,MMWR_TRAD_AGG_RO_PEN[],R$1,0),"ERROR")</f>
        <v>755</v>
      </c>
      <c r="S78" s="244">
        <f>IFERROR(VLOOKUP($B78,MMWR_APP_RO[],S$1,0),"ERROR")</f>
        <v>1953</v>
      </c>
      <c r="T78" s="28"/>
    </row>
    <row r="79" spans="1:20" x14ac:dyDescent="0.2">
      <c r="A79" s="92"/>
      <c r="B79" s="101" t="s">
        <v>227</v>
      </c>
      <c r="C79" s="219">
        <f>IFERROR(VLOOKUP($B79,MMWR_TRAD_AGG_RO_PEN[],C$1,0),"ERROR")</f>
        <v>0</v>
      </c>
      <c r="D79" s="190">
        <f>IFERROR(VLOOKUP($B79,MMWR_TRAD_AGG_RO_PEN[],D$1,0),"ERROR")</f>
        <v>0</v>
      </c>
      <c r="E79" s="219">
        <f>IFERROR(VLOOKUP($B79,MMWR_TRAD_AGG_RO_PEN[],E$1,0),"ERROR")</f>
        <v>252</v>
      </c>
      <c r="F79" s="219">
        <f>IFERROR(VLOOKUP($B79,MMWR_TRAD_AGG_RO_PEN[],F$1,0),"ERROR")</f>
        <v>104</v>
      </c>
      <c r="G79" s="215">
        <f>IFERROR(F79/E79,"0%")</f>
        <v>0.41269841269841268</v>
      </c>
      <c r="H79" s="219">
        <f>IFERROR(VLOOKUP($B79,MMWR_TRAD_AGG_RO_PEN[],H$1,0),"ERROR")</f>
        <v>462</v>
      </c>
      <c r="I79" s="219">
        <f>IFERROR(VLOOKUP($B79,MMWR_TRAD_AGG_RO_PEN[],I$1,0),"ERROR")</f>
        <v>321</v>
      </c>
      <c r="J79" s="215">
        <f>IFERROR(I79/H79,"0%")</f>
        <v>0.69480519480519476</v>
      </c>
      <c r="K79" s="219">
        <f>IFERROR(VLOOKUP($B79,MMWR_TRAD_AGG_RO_PEN[],K$1,0),"ERROR")</f>
        <v>226</v>
      </c>
      <c r="L79" s="219">
        <f>IFERROR(VLOOKUP($B79,MMWR_TRAD_AGG_RO_PEN[],L$1,0),"ERROR")</f>
        <v>220</v>
      </c>
      <c r="M79" s="215">
        <f>IFERROR(L79/K79,"0%")</f>
        <v>0.97345132743362828</v>
      </c>
      <c r="N79" s="219">
        <f>IFERROR(VLOOKUP($B79,MMWR_TRAD_AGG_RO_PEN[],N$1,0),"ERROR")</f>
        <v>206</v>
      </c>
      <c r="O79" s="219">
        <f>IFERROR(VLOOKUP($B79,MMWR_TRAD_AGG_RO_PEN[],O$1,0),"ERROR")</f>
        <v>156</v>
      </c>
      <c r="P79" s="215">
        <f>IFERROR(O79/N79,"0%")</f>
        <v>0.75728155339805825</v>
      </c>
      <c r="Q79" s="219">
        <f>IFERROR(VLOOKUP($B79,MMWR_TRAD_AGG_RO_PEN[],Q$1,0),"ERROR")</f>
        <v>14</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42" t="str">
        <f>UPPER("INVENTORY BY STATE "&amp;Transformation!B4)</f>
        <v>INVENTORY BY STATE AS OF: DECEMBER 19, 2015</v>
      </c>
      <c r="D2" s="443"/>
      <c r="E2" s="443"/>
      <c r="F2" s="443"/>
      <c r="G2" s="443"/>
      <c r="H2" s="443"/>
      <c r="I2" s="443"/>
      <c r="J2" s="443"/>
      <c r="K2" s="443"/>
      <c r="L2" s="443"/>
      <c r="M2" s="443"/>
      <c r="N2" s="443"/>
      <c r="O2" s="443"/>
      <c r="P2" s="443"/>
      <c r="Q2" s="443"/>
      <c r="R2" s="443"/>
      <c r="S2" s="444"/>
      <c r="T2" s="28"/>
    </row>
    <row r="3" spans="1:20" s="123" customFormat="1" x14ac:dyDescent="0.2">
      <c r="A3" s="25"/>
      <c r="B3" s="26"/>
      <c r="C3" s="450" t="s">
        <v>228</v>
      </c>
      <c r="D3" s="450"/>
      <c r="E3" s="447" t="s">
        <v>208</v>
      </c>
      <c r="F3" s="448"/>
      <c r="G3" s="449"/>
      <c r="H3" s="447" t="s">
        <v>7</v>
      </c>
      <c r="I3" s="448"/>
      <c r="J3" s="449"/>
      <c r="K3" s="447" t="s">
        <v>33</v>
      </c>
      <c r="L3" s="448"/>
      <c r="M3" s="449"/>
      <c r="N3" s="447" t="s">
        <v>8</v>
      </c>
      <c r="O3" s="448"/>
      <c r="P3" s="449"/>
      <c r="Q3" s="81" t="s">
        <v>9</v>
      </c>
      <c r="R3" s="82" t="s">
        <v>10</v>
      </c>
      <c r="S3" s="82" t="s">
        <v>11</v>
      </c>
      <c r="T3" s="28"/>
    </row>
    <row r="4" spans="1:20" s="123" customFormat="1"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488</v>
      </c>
      <c r="T4" s="28"/>
    </row>
    <row r="5" spans="1:20" s="123" customFormat="1" ht="26.25" x14ac:dyDescent="0.4">
      <c r="A5" s="25"/>
      <c r="B5" s="124"/>
      <c r="C5" s="442" t="s">
        <v>486</v>
      </c>
      <c r="D5" s="443"/>
      <c r="E5" s="443"/>
      <c r="F5" s="443"/>
      <c r="G5" s="443"/>
      <c r="H5" s="443"/>
      <c r="I5" s="443"/>
      <c r="J5" s="443"/>
      <c r="K5" s="443"/>
      <c r="L5" s="443"/>
      <c r="M5" s="443"/>
      <c r="N5" s="443"/>
      <c r="O5" s="443"/>
      <c r="P5" s="443"/>
      <c r="Q5" s="443"/>
      <c r="R5" s="443"/>
      <c r="S5" s="444"/>
      <c r="T5" s="28"/>
    </row>
    <row r="6" spans="1:20" s="123" customFormat="1" x14ac:dyDescent="0.2">
      <c r="A6" s="92"/>
      <c r="B6" s="125" t="s">
        <v>461</v>
      </c>
      <c r="C6" s="94">
        <f>IFERROR(VLOOKUP($B6,MMWR_TRAD_AGG_ST_DISTRICT_COMP[],C$1,0),"ERROR")</f>
        <v>325389</v>
      </c>
      <c r="D6" s="95">
        <f>IFERROR(VLOOKUP($B6,MMWR_TRAD_AGG_ST_DISTRICT_COMP[],D$1,0),"ERROR")</f>
        <v>388.57879645589998</v>
      </c>
      <c r="E6" s="96">
        <f>IFERROR(VLOOKUP($B6,MMWR_TRAD_AGG_ST_DISTRICT_COMP[],E$1,0),"ERROR")</f>
        <v>333869</v>
      </c>
      <c r="F6" s="97">
        <f>IFERROR(VLOOKUP($B6,MMWR_TRAD_AGG_ST_DISTRICT_COMP[],F$1,0),"ERROR")</f>
        <v>72280</v>
      </c>
      <c r="G6" s="98">
        <f t="shared" ref="G6:G37" si="0">IFERROR(F6/E6,"0%")</f>
        <v>0.21649209719979992</v>
      </c>
      <c r="H6" s="96">
        <f>IFERROR(VLOOKUP($B6,MMWR_TRAD_AGG_ST_DISTRICT_COMP[],H$1,0),"ERROR")</f>
        <v>473384</v>
      </c>
      <c r="I6" s="97">
        <f>IFERROR(VLOOKUP($B6,MMWR_TRAD_AGG_ST_DISTRICT_COMP[],I$1,0),"ERROR")</f>
        <v>306817</v>
      </c>
      <c r="J6" s="99">
        <f t="shared" ref="J6:J37" si="1">IFERROR(I6/H6,"0%")</f>
        <v>0.64813555168742498</v>
      </c>
      <c r="K6" s="96">
        <f>IFERROR(VLOOKUP($B6,MMWR_TRAD_AGG_ST_DISTRICT_COMP[],K$1,0),"ERROR")</f>
        <v>131921</v>
      </c>
      <c r="L6" s="97">
        <f>IFERROR(VLOOKUP($B6,MMWR_TRAD_AGG_ST_DISTRICT_COMP[],L$1,0),"ERROR")</f>
        <v>85935</v>
      </c>
      <c r="M6" s="99">
        <f t="shared" ref="M6:M37" si="2">IFERROR(L6/K6,"0%")</f>
        <v>0.65141258783665978</v>
      </c>
      <c r="N6" s="96">
        <f>IFERROR(VLOOKUP($B6,MMWR_TRAD_AGG_ST_DISTRICT_COMP[],N$1,0),"ERROR")</f>
        <v>153557</v>
      </c>
      <c r="O6" s="97">
        <f>IFERROR(VLOOKUP($B6,MMWR_TRAD_AGG_ST_DISTRICT_COMP[],O$1,0),"ERROR")</f>
        <v>98418</v>
      </c>
      <c r="P6" s="99">
        <f t="shared" ref="P6:P37" si="3">IFERROR(O6/N6,"0%")</f>
        <v>0.64092161217007371</v>
      </c>
      <c r="Q6" s="100">
        <f>IFERROR(VLOOKUP($B6,MMWR_TRAD_AGG_ST_DISTRICT_COMP[],Q$1,0),"ERROR")</f>
        <v>18862</v>
      </c>
      <c r="R6" s="100">
        <f>IFERROR(VLOOKUP($B6,MMWR_TRAD_AGG_ST_DISTRICT_COMP[],R$1,0),"ERROR")</f>
        <v>4002</v>
      </c>
      <c r="S6" s="100">
        <f>S7+S23+S36+S46+S56+S64</f>
        <v>312991</v>
      </c>
      <c r="T6" s="28"/>
    </row>
    <row r="7" spans="1:20" s="123" customFormat="1" x14ac:dyDescent="0.2">
      <c r="A7" s="92"/>
      <c r="B7" s="126" t="s">
        <v>369</v>
      </c>
      <c r="C7" s="102">
        <f>IF(SUM(C8:C22)&lt;&gt;VLOOKUP($B7,MMWR_TRAD_AGG_ST_DISTRICT_COMP[],C$1,0),"ERROR",
VLOOKUP($B7,MMWR_TRAD_AGG_ST_DISTRICT_COMP[],C$1,0))</f>
        <v>73621</v>
      </c>
      <c r="D7" s="103">
        <f>IFERROR(VLOOKUP($B7,MMWR_TRAD_AGG_ST_DISTRICT_COMP[],D$1,0),"ERROR")</f>
        <v>439.13638771550001</v>
      </c>
      <c r="E7" s="102">
        <f>IF(SUM(E8:E22)&lt;&gt;VLOOKUP($B7,MMWR_TRAD_AGG_ST_DISTRICT_COMP[],E$1,0),"ERROR",
VLOOKUP($B7,MMWR_TRAD_AGG_ST_DISTRICT_COMP[],E$1,0))</f>
        <v>72968</v>
      </c>
      <c r="F7" s="102">
        <f>IFERROR(VLOOKUP($B7,MMWR_TRAD_AGG_ST_DISTRICT_COMP[],F$1,0),"ERROR")</f>
        <v>16381</v>
      </c>
      <c r="G7" s="104">
        <f t="shared" si="0"/>
        <v>0.2244956693345028</v>
      </c>
      <c r="H7" s="102">
        <f>IF(SUM(H8:H22)&lt;&gt;VLOOKUP($B7,MMWR_TRAD_AGG_ST_DISTRICT_COMP[],H$1,0),"ERROR",
VLOOKUP($B7,MMWR_TRAD_AGG_ST_DISTRICT_COMP[],H$1,0))</f>
        <v>104477</v>
      </c>
      <c r="I7" s="102">
        <f>IF(SUM(I8:I22)&lt;&gt;VLOOKUP($B7,MMWR_TRAD_AGG_ST_DISTRICT_COMP[],I$1,0),"ERROR",
VLOOKUP($B7,MMWR_TRAD_AGG_ST_DISTRICT_COMP[],I$1,0))</f>
        <v>70160</v>
      </c>
      <c r="J7" s="105">
        <f t="shared" si="1"/>
        <v>0.67153536184997653</v>
      </c>
      <c r="K7" s="102">
        <f>IF(SUM(K8:K22)&lt;&gt;VLOOKUP($B7,MMWR_TRAD_AGG_ST_DISTRICT_COMP[],K$1,0),"ERROR",
VLOOKUP($B7,MMWR_TRAD_AGG_ST_DISTRICT_COMP[],K$1,0))</f>
        <v>35716</v>
      </c>
      <c r="L7" s="102">
        <f>IF(SUM(L8:L22)&lt;&gt;VLOOKUP($B7,MMWR_TRAD_AGG_ST_DISTRICT_COMP[],L$1,0),"ERROR",
VLOOKUP($B7,MMWR_TRAD_AGG_ST_DISTRICT_COMP[],L$1,0))</f>
        <v>24558</v>
      </c>
      <c r="M7" s="105">
        <f t="shared" si="2"/>
        <v>0.6875909956322096</v>
      </c>
      <c r="N7" s="102">
        <f>IF(SUM(N8:N22)&lt;&gt;VLOOKUP($B7,MMWR_TRAD_AGG_ST_DISTRICT_COMP[],N$1,0),"ERROR",
VLOOKUP($B7,MMWR_TRAD_AGG_ST_DISTRICT_COMP[],N$1,0))</f>
        <v>36771</v>
      </c>
      <c r="O7" s="102">
        <f>IF(SUM(O8:O22)&lt;&gt;VLOOKUP($B7,MMWR_TRAD_AGG_ST_DISTRICT_COMP[],O$1,0),"ERROR",
VLOOKUP($B7,MMWR_TRAD_AGG_ST_DISTRICT_COMP[],O$1,0))</f>
        <v>26188</v>
      </c>
      <c r="P7" s="105">
        <f t="shared" si="3"/>
        <v>0.71219167278561912</v>
      </c>
      <c r="Q7" s="102">
        <f>IF(SUM(Q8:Q22)&lt;&gt;VLOOKUP($B7,MMWR_TRAD_AGG_ST_DISTRICT_COMP[],Q$1,0),"ERROR",
VLOOKUP($B7,MMWR_TRAD_AGG_ST_DISTRICT_COMP[],Q$1,0))</f>
        <v>8486</v>
      </c>
      <c r="R7" s="106">
        <f>IFERROR(VLOOKUP($B7,MMWR_TRAD_AGG_ST_DISTRICT_COMP[],R$1,0),"ERROR")</f>
        <v>117</v>
      </c>
      <c r="S7" s="106">
        <f>SUM(S8:S22)</f>
        <v>57125</v>
      </c>
      <c r="T7" s="28"/>
    </row>
    <row r="8" spans="1:20" s="123" customFormat="1" x14ac:dyDescent="0.2">
      <c r="A8" s="107"/>
      <c r="B8" s="127" t="s">
        <v>373</v>
      </c>
      <c r="C8" s="109">
        <f>IFERROR(VLOOKUP($B8,MMWR_TRAD_AGG_STATE_COMP[],C$1,0),"ERROR")</f>
        <v>1558</v>
      </c>
      <c r="D8" s="110">
        <f>IFERROR(VLOOKUP($B8,MMWR_TRAD_AGG_STATE_COMP[],D$1,0),"ERROR")</f>
        <v>310.63093709880002</v>
      </c>
      <c r="E8" s="111">
        <f>IFERROR(VLOOKUP($B8,MMWR_TRAD_AGG_STATE_COMP[],E$1,0),"ERROR")</f>
        <v>1942</v>
      </c>
      <c r="F8" s="112">
        <f>IFERROR(VLOOKUP($B8,MMWR_TRAD_AGG_STATE_COMP[],F$1,0),"ERROR")</f>
        <v>363</v>
      </c>
      <c r="G8" s="113">
        <f t="shared" si="0"/>
        <v>0.18692070030895983</v>
      </c>
      <c r="H8" s="111">
        <f>IFERROR(VLOOKUP($B8,MMWR_TRAD_AGG_STATE_COMP[],H$1,0),"ERROR")</f>
        <v>3230</v>
      </c>
      <c r="I8" s="112">
        <f>IFERROR(VLOOKUP($B8,MMWR_TRAD_AGG_STATE_COMP[],I$1,0),"ERROR")</f>
        <v>2058</v>
      </c>
      <c r="J8" s="114">
        <f t="shared" si="1"/>
        <v>0.63715170278637767</v>
      </c>
      <c r="K8" s="111">
        <f>IFERROR(VLOOKUP($B8,MMWR_TRAD_AGG_STATE_COMP[],K$1,0),"ERROR")</f>
        <v>630</v>
      </c>
      <c r="L8" s="112">
        <f>IFERROR(VLOOKUP($B8,MMWR_TRAD_AGG_STATE_COMP[],L$1,0),"ERROR")</f>
        <v>363</v>
      </c>
      <c r="M8" s="114">
        <f t="shared" si="2"/>
        <v>0.57619047619047614</v>
      </c>
      <c r="N8" s="111">
        <f>IFERROR(VLOOKUP($B8,MMWR_TRAD_AGG_STATE_COMP[],N$1,0),"ERROR")</f>
        <v>1027</v>
      </c>
      <c r="O8" s="112">
        <f>IFERROR(VLOOKUP($B8,MMWR_TRAD_AGG_STATE_COMP[],O$1,0),"ERROR")</f>
        <v>684</v>
      </c>
      <c r="P8" s="114">
        <f t="shared" si="3"/>
        <v>0.66601752677702042</v>
      </c>
      <c r="Q8" s="115">
        <f>IFERROR(VLOOKUP($B8,MMWR_TRAD_AGG_STATE_COMP[],Q$1,0),"ERROR")</f>
        <v>296</v>
      </c>
      <c r="R8" s="115">
        <f>IFERROR(VLOOKUP($B8,MMWR_TRAD_AGG_STATE_COMP[],R$1,0),"ERROR")</f>
        <v>4</v>
      </c>
      <c r="S8" s="115">
        <f>IFERROR(VLOOKUP($B8,MMWR_APP_STATE_COMP[],S$1,0),"ERROR")</f>
        <v>1069</v>
      </c>
      <c r="T8" s="28"/>
    </row>
    <row r="9" spans="1:20" s="123" customFormat="1" x14ac:dyDescent="0.2">
      <c r="A9" s="107"/>
      <c r="B9" s="127" t="s">
        <v>423</v>
      </c>
      <c r="C9" s="109">
        <f>IFERROR(VLOOKUP($B9,MMWR_TRAD_AGG_STATE_COMP[],C$1,0),"ERROR")</f>
        <v>846</v>
      </c>
      <c r="D9" s="110">
        <f>IFERROR(VLOOKUP($B9,MMWR_TRAD_AGG_STATE_COMP[],D$1,0),"ERROR")</f>
        <v>397.83569739950002</v>
      </c>
      <c r="E9" s="111">
        <f>IFERROR(VLOOKUP($B9,MMWR_TRAD_AGG_STATE_COMP[],E$1,0),"ERROR")</f>
        <v>873</v>
      </c>
      <c r="F9" s="112">
        <f>IFERROR(VLOOKUP($B9,MMWR_TRAD_AGG_STATE_COMP[],F$1,0),"ERROR")</f>
        <v>256</v>
      </c>
      <c r="G9" s="113">
        <f t="shared" si="0"/>
        <v>0.29324169530355099</v>
      </c>
      <c r="H9" s="111">
        <f>IFERROR(VLOOKUP($B9,MMWR_TRAD_AGG_STATE_COMP[],H$1,0),"ERROR")</f>
        <v>1139</v>
      </c>
      <c r="I9" s="112">
        <f>IFERROR(VLOOKUP($B9,MMWR_TRAD_AGG_STATE_COMP[],I$1,0),"ERROR")</f>
        <v>779</v>
      </c>
      <c r="J9" s="114">
        <f t="shared" si="1"/>
        <v>0.68393327480245825</v>
      </c>
      <c r="K9" s="111">
        <f>IFERROR(VLOOKUP($B9,MMWR_TRAD_AGG_STATE_COMP[],K$1,0),"ERROR")</f>
        <v>265</v>
      </c>
      <c r="L9" s="112">
        <f>IFERROR(VLOOKUP($B9,MMWR_TRAD_AGG_STATE_COMP[],L$1,0),"ERROR")</f>
        <v>158</v>
      </c>
      <c r="M9" s="114">
        <f t="shared" si="2"/>
        <v>0.5962264150943396</v>
      </c>
      <c r="N9" s="111">
        <f>IFERROR(VLOOKUP($B9,MMWR_TRAD_AGG_STATE_COMP[],N$1,0),"ERROR")</f>
        <v>365</v>
      </c>
      <c r="O9" s="112">
        <f>IFERROR(VLOOKUP($B9,MMWR_TRAD_AGG_STATE_COMP[],O$1,0),"ERROR")</f>
        <v>202</v>
      </c>
      <c r="P9" s="114">
        <f t="shared" si="3"/>
        <v>0.55342465753424652</v>
      </c>
      <c r="Q9" s="115">
        <f>IFERROR(VLOOKUP($B9,MMWR_TRAD_AGG_STATE_COMP[],Q$1,0),"ERROR")</f>
        <v>74</v>
      </c>
      <c r="R9" s="115">
        <f>IFERROR(VLOOKUP($B9,MMWR_TRAD_AGG_STATE_COMP[],R$1,0),"ERROR")</f>
        <v>1</v>
      </c>
      <c r="S9" s="115">
        <f>IFERROR(VLOOKUP($B9,MMWR_APP_STATE_COMP[],S$1,0),"ERROR")</f>
        <v>599</v>
      </c>
      <c r="T9" s="28"/>
    </row>
    <row r="10" spans="1:20" s="123" customFormat="1" x14ac:dyDescent="0.2">
      <c r="A10" s="107"/>
      <c r="B10" s="127" t="s">
        <v>414</v>
      </c>
      <c r="C10" s="109">
        <f>IFERROR(VLOOKUP($B10,MMWR_TRAD_AGG_STATE_COMP[],C$1,0),"ERROR")</f>
        <v>474</v>
      </c>
      <c r="D10" s="110">
        <f>IFERROR(VLOOKUP($B10,MMWR_TRAD_AGG_STATE_COMP[],D$1,0),"ERROR")</f>
        <v>530.25949367090004</v>
      </c>
      <c r="E10" s="111">
        <f>IFERROR(VLOOKUP($B10,MMWR_TRAD_AGG_STATE_COMP[],E$1,0),"ERROR")</f>
        <v>444</v>
      </c>
      <c r="F10" s="112">
        <f>IFERROR(VLOOKUP($B10,MMWR_TRAD_AGG_STATE_COMP[],F$1,0),"ERROR")</f>
        <v>105</v>
      </c>
      <c r="G10" s="113">
        <f t="shared" si="0"/>
        <v>0.23648648648648649</v>
      </c>
      <c r="H10" s="111">
        <f>IFERROR(VLOOKUP($B10,MMWR_TRAD_AGG_STATE_COMP[],H$1,0),"ERROR")</f>
        <v>662</v>
      </c>
      <c r="I10" s="112">
        <f>IFERROR(VLOOKUP($B10,MMWR_TRAD_AGG_STATE_COMP[],I$1,0),"ERROR")</f>
        <v>473</v>
      </c>
      <c r="J10" s="114">
        <f t="shared" si="1"/>
        <v>0.71450151057401812</v>
      </c>
      <c r="K10" s="111">
        <f>IFERROR(VLOOKUP($B10,MMWR_TRAD_AGG_STATE_COMP[],K$1,0),"ERROR")</f>
        <v>218</v>
      </c>
      <c r="L10" s="112">
        <f>IFERROR(VLOOKUP($B10,MMWR_TRAD_AGG_STATE_COMP[],L$1,0),"ERROR")</f>
        <v>162</v>
      </c>
      <c r="M10" s="114">
        <f t="shared" si="2"/>
        <v>0.74311926605504586</v>
      </c>
      <c r="N10" s="111">
        <f>IFERROR(VLOOKUP($B10,MMWR_TRAD_AGG_STATE_COMP[],N$1,0),"ERROR")</f>
        <v>378</v>
      </c>
      <c r="O10" s="112">
        <f>IFERROR(VLOOKUP($B10,MMWR_TRAD_AGG_STATE_COMP[],O$1,0),"ERROR")</f>
        <v>301</v>
      </c>
      <c r="P10" s="114">
        <f t="shared" si="3"/>
        <v>0.79629629629629628</v>
      </c>
      <c r="Q10" s="115">
        <f>IFERROR(VLOOKUP($B10,MMWR_TRAD_AGG_STATE_COMP[],Q$1,0),"ERROR")</f>
        <v>23</v>
      </c>
      <c r="R10" s="115">
        <f>IFERROR(VLOOKUP($B10,MMWR_TRAD_AGG_STATE_COMP[],R$1,0),"ERROR")</f>
        <v>0</v>
      </c>
      <c r="S10" s="115">
        <f>IFERROR(VLOOKUP($B10,MMWR_APP_STATE_COMP[],S$1,0),"ERROR")</f>
        <v>601</v>
      </c>
      <c r="T10" s="28"/>
    </row>
    <row r="11" spans="1:20" s="123" customFormat="1" x14ac:dyDescent="0.2">
      <c r="A11" s="107"/>
      <c r="B11" s="127" t="s">
        <v>416</v>
      </c>
      <c r="C11" s="109">
        <f>IFERROR(VLOOKUP($B11,MMWR_TRAD_AGG_STATE_COMP[],C$1,0),"ERROR")</f>
        <v>1459</v>
      </c>
      <c r="D11" s="110">
        <f>IFERROR(VLOOKUP($B11,MMWR_TRAD_AGG_STATE_COMP[],D$1,0),"ERROR")</f>
        <v>286.2529129541</v>
      </c>
      <c r="E11" s="111">
        <f>IFERROR(VLOOKUP($B11,MMWR_TRAD_AGG_STATE_COMP[],E$1,0),"ERROR")</f>
        <v>1226</v>
      </c>
      <c r="F11" s="112">
        <f>IFERROR(VLOOKUP($B11,MMWR_TRAD_AGG_STATE_COMP[],F$1,0),"ERROR")</f>
        <v>180</v>
      </c>
      <c r="G11" s="113">
        <f t="shared" si="0"/>
        <v>0.14681892332789559</v>
      </c>
      <c r="H11" s="111">
        <f>IFERROR(VLOOKUP($B11,MMWR_TRAD_AGG_STATE_COMP[],H$1,0),"ERROR")</f>
        <v>2056</v>
      </c>
      <c r="I11" s="112">
        <f>IFERROR(VLOOKUP($B11,MMWR_TRAD_AGG_STATE_COMP[],I$1,0),"ERROR")</f>
        <v>1257</v>
      </c>
      <c r="J11" s="114">
        <f t="shared" si="1"/>
        <v>0.61138132295719849</v>
      </c>
      <c r="K11" s="111">
        <f>IFERROR(VLOOKUP($B11,MMWR_TRAD_AGG_STATE_COMP[],K$1,0),"ERROR")</f>
        <v>1110</v>
      </c>
      <c r="L11" s="112">
        <f>IFERROR(VLOOKUP($B11,MMWR_TRAD_AGG_STATE_COMP[],L$1,0),"ERROR")</f>
        <v>831</v>
      </c>
      <c r="M11" s="114">
        <f t="shared" si="2"/>
        <v>0.74864864864864866</v>
      </c>
      <c r="N11" s="111">
        <f>IFERROR(VLOOKUP($B11,MMWR_TRAD_AGG_STATE_COMP[],N$1,0),"ERROR")</f>
        <v>364</v>
      </c>
      <c r="O11" s="112">
        <f>IFERROR(VLOOKUP($B11,MMWR_TRAD_AGG_STATE_COMP[],O$1,0),"ERROR")</f>
        <v>230</v>
      </c>
      <c r="P11" s="114">
        <f t="shared" si="3"/>
        <v>0.63186813186813184</v>
      </c>
      <c r="Q11" s="115">
        <f>IFERROR(VLOOKUP($B11,MMWR_TRAD_AGG_STATE_COMP[],Q$1,0),"ERROR")</f>
        <v>359</v>
      </c>
      <c r="R11" s="115">
        <f>IFERROR(VLOOKUP($B11,MMWR_TRAD_AGG_STATE_COMP[],R$1,0),"ERROR")</f>
        <v>3</v>
      </c>
      <c r="S11" s="115">
        <f>IFERROR(VLOOKUP($B11,MMWR_APP_STATE_COMP[],S$1,0),"ERROR")</f>
        <v>435</v>
      </c>
      <c r="T11" s="28"/>
    </row>
    <row r="12" spans="1:20" s="123" customFormat="1" x14ac:dyDescent="0.2">
      <c r="A12" s="107"/>
      <c r="B12" s="127" t="s">
        <v>376</v>
      </c>
      <c r="C12" s="109">
        <f>IFERROR(VLOOKUP($B12,MMWR_TRAD_AGG_STATE_COMP[],C$1,0),"ERROR")</f>
        <v>8577</v>
      </c>
      <c r="D12" s="110">
        <f>IFERROR(VLOOKUP($B12,MMWR_TRAD_AGG_STATE_COMP[],D$1,0),"ERROR")</f>
        <v>630.23586335549999</v>
      </c>
      <c r="E12" s="111">
        <f>IFERROR(VLOOKUP($B12,MMWR_TRAD_AGG_STATE_COMP[],E$1,0),"ERROR")</f>
        <v>5872</v>
      </c>
      <c r="F12" s="112">
        <f>IFERROR(VLOOKUP($B12,MMWR_TRAD_AGG_STATE_COMP[],F$1,0),"ERROR")</f>
        <v>1195</v>
      </c>
      <c r="G12" s="113">
        <f t="shared" si="0"/>
        <v>0.20350817438692098</v>
      </c>
      <c r="H12" s="111">
        <f>IFERROR(VLOOKUP($B12,MMWR_TRAD_AGG_STATE_COMP[],H$1,0),"ERROR")</f>
        <v>11712</v>
      </c>
      <c r="I12" s="112">
        <f>IFERROR(VLOOKUP($B12,MMWR_TRAD_AGG_STATE_COMP[],I$1,0),"ERROR")</f>
        <v>8397</v>
      </c>
      <c r="J12" s="114">
        <f t="shared" si="1"/>
        <v>0.71695696721311475</v>
      </c>
      <c r="K12" s="111">
        <f>IFERROR(VLOOKUP($B12,MMWR_TRAD_AGG_STATE_COMP[],K$1,0),"ERROR")</f>
        <v>3370</v>
      </c>
      <c r="L12" s="112">
        <f>IFERROR(VLOOKUP($B12,MMWR_TRAD_AGG_STATE_COMP[],L$1,0),"ERROR")</f>
        <v>2372</v>
      </c>
      <c r="M12" s="114">
        <f t="shared" si="2"/>
        <v>0.70385756676557865</v>
      </c>
      <c r="N12" s="111">
        <f>IFERROR(VLOOKUP($B12,MMWR_TRAD_AGG_STATE_COMP[],N$1,0),"ERROR")</f>
        <v>7153</v>
      </c>
      <c r="O12" s="112">
        <f>IFERROR(VLOOKUP($B12,MMWR_TRAD_AGG_STATE_COMP[],O$1,0),"ERROR")</f>
        <v>5803</v>
      </c>
      <c r="P12" s="114">
        <f t="shared" si="3"/>
        <v>0.81126799944079409</v>
      </c>
      <c r="Q12" s="115">
        <f>IFERROR(VLOOKUP($B12,MMWR_TRAD_AGG_STATE_COMP[],Q$1,0),"ERROR")</f>
        <v>425</v>
      </c>
      <c r="R12" s="115">
        <f>IFERROR(VLOOKUP($B12,MMWR_TRAD_AGG_STATE_COMP[],R$1,0),"ERROR")</f>
        <v>4</v>
      </c>
      <c r="S12" s="115">
        <f>IFERROR(VLOOKUP($B12,MMWR_APP_STATE_COMP[],S$1,0),"ERROR")</f>
        <v>5657</v>
      </c>
      <c r="T12" s="28"/>
    </row>
    <row r="13" spans="1:20" s="123" customFormat="1" x14ac:dyDescent="0.2">
      <c r="A13" s="107"/>
      <c r="B13" s="127" t="s">
        <v>371</v>
      </c>
      <c r="C13" s="109">
        <f>IFERROR(VLOOKUP($B13,MMWR_TRAD_AGG_STATE_COMP[],C$1,0),"ERROR")</f>
        <v>4809</v>
      </c>
      <c r="D13" s="110">
        <f>IFERROR(VLOOKUP($B13,MMWR_TRAD_AGG_STATE_COMP[],D$1,0),"ERROR")</f>
        <v>532.79517571220003</v>
      </c>
      <c r="E13" s="111">
        <f>IFERROR(VLOOKUP($B13,MMWR_TRAD_AGG_STATE_COMP[],E$1,0),"ERROR")</f>
        <v>4383</v>
      </c>
      <c r="F13" s="112">
        <f>IFERROR(VLOOKUP($B13,MMWR_TRAD_AGG_STATE_COMP[],F$1,0),"ERROR")</f>
        <v>1120</v>
      </c>
      <c r="G13" s="113">
        <f t="shared" si="0"/>
        <v>0.25553274013232946</v>
      </c>
      <c r="H13" s="111">
        <f>IFERROR(VLOOKUP($B13,MMWR_TRAD_AGG_STATE_COMP[],H$1,0),"ERROR")</f>
        <v>7026</v>
      </c>
      <c r="I13" s="112">
        <f>IFERROR(VLOOKUP($B13,MMWR_TRAD_AGG_STATE_COMP[],I$1,0),"ERROR")</f>
        <v>5048</v>
      </c>
      <c r="J13" s="114">
        <f t="shared" si="1"/>
        <v>0.71847423854255621</v>
      </c>
      <c r="K13" s="111">
        <f>IFERROR(VLOOKUP($B13,MMWR_TRAD_AGG_STATE_COMP[],K$1,0),"ERROR")</f>
        <v>3064</v>
      </c>
      <c r="L13" s="112">
        <f>IFERROR(VLOOKUP($B13,MMWR_TRAD_AGG_STATE_COMP[],L$1,0),"ERROR")</f>
        <v>2453</v>
      </c>
      <c r="M13" s="114">
        <f t="shared" si="2"/>
        <v>0.8005874673629243</v>
      </c>
      <c r="N13" s="111">
        <f>IFERROR(VLOOKUP($B13,MMWR_TRAD_AGG_STATE_COMP[],N$1,0),"ERROR")</f>
        <v>1549</v>
      </c>
      <c r="O13" s="112">
        <f>IFERROR(VLOOKUP($B13,MMWR_TRAD_AGG_STATE_COMP[],O$1,0),"ERROR")</f>
        <v>1170</v>
      </c>
      <c r="P13" s="114">
        <f t="shared" si="3"/>
        <v>0.75532601678502265</v>
      </c>
      <c r="Q13" s="115">
        <f>IFERROR(VLOOKUP($B13,MMWR_TRAD_AGG_STATE_COMP[],Q$1,0),"ERROR")</f>
        <v>769</v>
      </c>
      <c r="R13" s="115">
        <f>IFERROR(VLOOKUP($B13,MMWR_TRAD_AGG_STATE_COMP[],R$1,0),"ERROR")</f>
        <v>8</v>
      </c>
      <c r="S13" s="115">
        <f>IFERROR(VLOOKUP($B13,MMWR_APP_STATE_COMP[],S$1,0),"ERROR")</f>
        <v>3445</v>
      </c>
      <c r="T13" s="28"/>
    </row>
    <row r="14" spans="1:20" s="123" customFormat="1" x14ac:dyDescent="0.2">
      <c r="A14" s="107"/>
      <c r="B14" s="127" t="s">
        <v>415</v>
      </c>
      <c r="C14" s="109">
        <f>IFERROR(VLOOKUP($B14,MMWR_TRAD_AGG_STATE_COMP[],C$1,0),"ERROR")</f>
        <v>1606</v>
      </c>
      <c r="D14" s="110">
        <f>IFERROR(VLOOKUP($B14,MMWR_TRAD_AGG_STATE_COMP[],D$1,0),"ERROR")</f>
        <v>400.73163138230001</v>
      </c>
      <c r="E14" s="111">
        <f>IFERROR(VLOOKUP($B14,MMWR_TRAD_AGG_STATE_COMP[],E$1,0),"ERROR")</f>
        <v>1206</v>
      </c>
      <c r="F14" s="112">
        <f>IFERROR(VLOOKUP($B14,MMWR_TRAD_AGG_STATE_COMP[],F$1,0),"ERROR")</f>
        <v>265</v>
      </c>
      <c r="G14" s="113">
        <f t="shared" si="0"/>
        <v>0.21973466003316749</v>
      </c>
      <c r="H14" s="111">
        <f>IFERROR(VLOOKUP($B14,MMWR_TRAD_AGG_STATE_COMP[],H$1,0),"ERROR")</f>
        <v>2268</v>
      </c>
      <c r="I14" s="112">
        <f>IFERROR(VLOOKUP($B14,MMWR_TRAD_AGG_STATE_COMP[],I$1,0),"ERROR")</f>
        <v>1500</v>
      </c>
      <c r="J14" s="114">
        <f t="shared" si="1"/>
        <v>0.66137566137566139</v>
      </c>
      <c r="K14" s="111">
        <f>IFERROR(VLOOKUP($B14,MMWR_TRAD_AGG_STATE_COMP[],K$1,0),"ERROR")</f>
        <v>530</v>
      </c>
      <c r="L14" s="112">
        <f>IFERROR(VLOOKUP($B14,MMWR_TRAD_AGG_STATE_COMP[],L$1,0),"ERROR")</f>
        <v>471</v>
      </c>
      <c r="M14" s="114">
        <f t="shared" si="2"/>
        <v>0.88867924528301889</v>
      </c>
      <c r="N14" s="111">
        <f>IFERROR(VLOOKUP($B14,MMWR_TRAD_AGG_STATE_COMP[],N$1,0),"ERROR")</f>
        <v>198</v>
      </c>
      <c r="O14" s="112">
        <f>IFERROR(VLOOKUP($B14,MMWR_TRAD_AGG_STATE_COMP[],O$1,0),"ERROR")</f>
        <v>113</v>
      </c>
      <c r="P14" s="114">
        <f t="shared" si="3"/>
        <v>0.57070707070707072</v>
      </c>
      <c r="Q14" s="115">
        <f>IFERROR(VLOOKUP($B14,MMWR_TRAD_AGG_STATE_COMP[],Q$1,0),"ERROR")</f>
        <v>170</v>
      </c>
      <c r="R14" s="115">
        <f>IFERROR(VLOOKUP($B14,MMWR_TRAD_AGG_STATE_COMP[],R$1,0),"ERROR")</f>
        <v>2</v>
      </c>
      <c r="S14" s="115">
        <f>IFERROR(VLOOKUP($B14,MMWR_APP_STATE_COMP[],S$1,0),"ERROR")</f>
        <v>675</v>
      </c>
      <c r="T14" s="28"/>
    </row>
    <row r="15" spans="1:20" s="123" customFormat="1" x14ac:dyDescent="0.2">
      <c r="A15" s="107"/>
      <c r="B15" s="127" t="s">
        <v>374</v>
      </c>
      <c r="C15" s="109">
        <f>IFERROR(VLOOKUP($B15,MMWR_TRAD_AGG_STATE_COMP[],C$1,0),"ERROR")</f>
        <v>2592</v>
      </c>
      <c r="D15" s="110">
        <f>IFERROR(VLOOKUP($B15,MMWR_TRAD_AGG_STATE_COMP[],D$1,0),"ERROR")</f>
        <v>305.47878086420002</v>
      </c>
      <c r="E15" s="111">
        <f>IFERROR(VLOOKUP($B15,MMWR_TRAD_AGG_STATE_COMP[],E$1,0),"ERROR")</f>
        <v>4162</v>
      </c>
      <c r="F15" s="112">
        <f>IFERROR(VLOOKUP($B15,MMWR_TRAD_AGG_STATE_COMP[],F$1,0),"ERROR")</f>
        <v>906</v>
      </c>
      <c r="G15" s="113">
        <f t="shared" si="0"/>
        <v>0.21768380586256608</v>
      </c>
      <c r="H15" s="111">
        <f>IFERROR(VLOOKUP($B15,MMWR_TRAD_AGG_STATE_COMP[],H$1,0),"ERROR")</f>
        <v>4122</v>
      </c>
      <c r="I15" s="112">
        <f>IFERROR(VLOOKUP($B15,MMWR_TRAD_AGG_STATE_COMP[],I$1,0),"ERROR")</f>
        <v>2208</v>
      </c>
      <c r="J15" s="114">
        <f t="shared" si="1"/>
        <v>0.53566229985443958</v>
      </c>
      <c r="K15" s="111">
        <f>IFERROR(VLOOKUP($B15,MMWR_TRAD_AGG_STATE_COMP[],K$1,0),"ERROR")</f>
        <v>1409</v>
      </c>
      <c r="L15" s="112">
        <f>IFERROR(VLOOKUP($B15,MMWR_TRAD_AGG_STATE_COMP[],L$1,0),"ERROR")</f>
        <v>931</v>
      </c>
      <c r="M15" s="114">
        <f t="shared" si="2"/>
        <v>0.66075230660042583</v>
      </c>
      <c r="N15" s="111">
        <f>IFERROR(VLOOKUP($B15,MMWR_TRAD_AGG_STATE_COMP[],N$1,0),"ERROR")</f>
        <v>2184</v>
      </c>
      <c r="O15" s="112">
        <f>IFERROR(VLOOKUP($B15,MMWR_TRAD_AGG_STATE_COMP[],O$1,0),"ERROR")</f>
        <v>1416</v>
      </c>
      <c r="P15" s="114">
        <f t="shared" si="3"/>
        <v>0.64835164835164838</v>
      </c>
      <c r="Q15" s="115">
        <f>IFERROR(VLOOKUP($B15,MMWR_TRAD_AGG_STATE_COMP[],Q$1,0),"ERROR")</f>
        <v>742</v>
      </c>
      <c r="R15" s="115">
        <f>IFERROR(VLOOKUP($B15,MMWR_TRAD_AGG_STATE_COMP[],R$1,0),"ERROR")</f>
        <v>4</v>
      </c>
      <c r="S15" s="115">
        <f>IFERROR(VLOOKUP($B15,MMWR_APP_STATE_COMP[],S$1,0),"ERROR")</f>
        <v>4171</v>
      </c>
      <c r="T15" s="28"/>
    </row>
    <row r="16" spans="1:20" s="123" customFormat="1" x14ac:dyDescent="0.2">
      <c r="A16" s="107"/>
      <c r="B16" s="127" t="s">
        <v>63</v>
      </c>
      <c r="C16" s="109">
        <f>IFERROR(VLOOKUP($B16,MMWR_TRAD_AGG_STATE_COMP[],C$1,0),"ERROR")</f>
        <v>6727</v>
      </c>
      <c r="D16" s="110">
        <f>IFERROR(VLOOKUP($B16,MMWR_TRAD_AGG_STATE_COMP[],D$1,0),"ERROR")</f>
        <v>293.76512561319998</v>
      </c>
      <c r="E16" s="111">
        <f>IFERROR(VLOOKUP($B16,MMWR_TRAD_AGG_STATE_COMP[],E$1,0),"ERROR")</f>
        <v>8866</v>
      </c>
      <c r="F16" s="112">
        <f>IFERROR(VLOOKUP($B16,MMWR_TRAD_AGG_STATE_COMP[],F$1,0),"ERROR")</f>
        <v>1899</v>
      </c>
      <c r="G16" s="113">
        <f t="shared" si="0"/>
        <v>0.21418903676968193</v>
      </c>
      <c r="H16" s="111">
        <f>IFERROR(VLOOKUP($B16,MMWR_TRAD_AGG_STATE_COMP[],H$1,0),"ERROR")</f>
        <v>10089</v>
      </c>
      <c r="I16" s="112">
        <f>IFERROR(VLOOKUP($B16,MMWR_TRAD_AGG_STATE_COMP[],I$1,0),"ERROR")</f>
        <v>6154</v>
      </c>
      <c r="J16" s="114">
        <f t="shared" si="1"/>
        <v>0.6099712558231738</v>
      </c>
      <c r="K16" s="111">
        <f>IFERROR(VLOOKUP($B16,MMWR_TRAD_AGG_STATE_COMP[],K$1,0),"ERROR")</f>
        <v>4568</v>
      </c>
      <c r="L16" s="112">
        <f>IFERROR(VLOOKUP($B16,MMWR_TRAD_AGG_STATE_COMP[],L$1,0),"ERROR")</f>
        <v>3280</v>
      </c>
      <c r="M16" s="114">
        <f t="shared" si="2"/>
        <v>0.71803852889667252</v>
      </c>
      <c r="N16" s="111">
        <f>IFERROR(VLOOKUP($B16,MMWR_TRAD_AGG_STATE_COMP[],N$1,0),"ERROR")</f>
        <v>2898</v>
      </c>
      <c r="O16" s="112">
        <f>IFERROR(VLOOKUP($B16,MMWR_TRAD_AGG_STATE_COMP[],O$1,0),"ERROR")</f>
        <v>1403</v>
      </c>
      <c r="P16" s="114">
        <f t="shared" si="3"/>
        <v>0.48412698412698413</v>
      </c>
      <c r="Q16" s="115">
        <f>IFERROR(VLOOKUP($B16,MMWR_TRAD_AGG_STATE_COMP[],Q$1,0),"ERROR")</f>
        <v>1519</v>
      </c>
      <c r="R16" s="115">
        <f>IFERROR(VLOOKUP($B16,MMWR_TRAD_AGG_STATE_COMP[],R$1,0),"ERROR")</f>
        <v>7</v>
      </c>
      <c r="S16" s="115">
        <f>IFERROR(VLOOKUP($B16,MMWR_APP_STATE_COMP[],S$1,0),"ERROR")</f>
        <v>5416</v>
      </c>
      <c r="T16" s="28"/>
    </row>
    <row r="17" spans="1:20" s="123" customFormat="1" x14ac:dyDescent="0.2">
      <c r="A17" s="107"/>
      <c r="B17" s="127" t="s">
        <v>382</v>
      </c>
      <c r="C17" s="109">
        <f>IFERROR(VLOOKUP($B17,MMWR_TRAD_AGG_STATE_COMP[],C$1,0),"ERROR")</f>
        <v>16215</v>
      </c>
      <c r="D17" s="110">
        <f>IFERROR(VLOOKUP($B17,MMWR_TRAD_AGG_STATE_COMP[],D$1,0),"ERROR")</f>
        <v>322.70009250689998</v>
      </c>
      <c r="E17" s="111">
        <f>IFERROR(VLOOKUP($B17,MMWR_TRAD_AGG_STATE_COMP[],E$1,0),"ERROR")</f>
        <v>17767</v>
      </c>
      <c r="F17" s="112">
        <f>IFERROR(VLOOKUP($B17,MMWR_TRAD_AGG_STATE_COMP[],F$1,0),"ERROR")</f>
        <v>4454</v>
      </c>
      <c r="G17" s="113">
        <f t="shared" si="0"/>
        <v>0.25068948049755163</v>
      </c>
      <c r="H17" s="111">
        <f>IFERROR(VLOOKUP($B17,MMWR_TRAD_AGG_STATE_COMP[],H$1,0),"ERROR")</f>
        <v>22242</v>
      </c>
      <c r="I17" s="112">
        <f>IFERROR(VLOOKUP($B17,MMWR_TRAD_AGG_STATE_COMP[],I$1,0),"ERROR")</f>
        <v>14674</v>
      </c>
      <c r="J17" s="114">
        <f t="shared" si="1"/>
        <v>0.65974282888229474</v>
      </c>
      <c r="K17" s="111">
        <f>IFERROR(VLOOKUP($B17,MMWR_TRAD_AGG_STATE_COMP[],K$1,0),"ERROR")</f>
        <v>8592</v>
      </c>
      <c r="L17" s="112">
        <f>IFERROR(VLOOKUP($B17,MMWR_TRAD_AGG_STATE_COMP[],L$1,0),"ERROR")</f>
        <v>5174</v>
      </c>
      <c r="M17" s="114">
        <f t="shared" si="2"/>
        <v>0.60218808193668527</v>
      </c>
      <c r="N17" s="111">
        <f>IFERROR(VLOOKUP($B17,MMWR_TRAD_AGG_STATE_COMP[],N$1,0),"ERROR")</f>
        <v>5974</v>
      </c>
      <c r="O17" s="112">
        <f>IFERROR(VLOOKUP($B17,MMWR_TRAD_AGG_STATE_COMP[],O$1,0),"ERROR")</f>
        <v>3860</v>
      </c>
      <c r="P17" s="114">
        <f t="shared" si="3"/>
        <v>0.64613324405758288</v>
      </c>
      <c r="Q17" s="115">
        <f>IFERROR(VLOOKUP($B17,MMWR_TRAD_AGG_STATE_COMP[],Q$1,0),"ERROR")</f>
        <v>1164</v>
      </c>
      <c r="R17" s="115">
        <f>IFERROR(VLOOKUP($B17,MMWR_TRAD_AGG_STATE_COMP[],R$1,0),"ERROR")</f>
        <v>35</v>
      </c>
      <c r="S17" s="115">
        <f>IFERROR(VLOOKUP($B17,MMWR_APP_STATE_COMP[],S$1,0),"ERROR")</f>
        <v>10174</v>
      </c>
      <c r="T17" s="28"/>
    </row>
    <row r="18" spans="1:20" s="123" customFormat="1" x14ac:dyDescent="0.2">
      <c r="A18" s="107"/>
      <c r="B18" s="127" t="s">
        <v>375</v>
      </c>
      <c r="C18" s="109">
        <f>IFERROR(VLOOKUP($B18,MMWR_TRAD_AGG_STATE_COMP[],C$1,0),"ERROR")</f>
        <v>8250</v>
      </c>
      <c r="D18" s="110">
        <f>IFERROR(VLOOKUP($B18,MMWR_TRAD_AGG_STATE_COMP[],D$1,0),"ERROR")</f>
        <v>433.99272727269999</v>
      </c>
      <c r="E18" s="111">
        <f>IFERROR(VLOOKUP($B18,MMWR_TRAD_AGG_STATE_COMP[],E$1,0),"ERROR")</f>
        <v>9472</v>
      </c>
      <c r="F18" s="112">
        <f>IFERROR(VLOOKUP($B18,MMWR_TRAD_AGG_STATE_COMP[],F$1,0),"ERROR")</f>
        <v>2440</v>
      </c>
      <c r="G18" s="113">
        <f t="shared" si="0"/>
        <v>0.25760135135135137</v>
      </c>
      <c r="H18" s="111">
        <f>IFERROR(VLOOKUP($B18,MMWR_TRAD_AGG_STATE_COMP[],H$1,0),"ERROR")</f>
        <v>12579</v>
      </c>
      <c r="I18" s="112">
        <f>IFERROR(VLOOKUP($B18,MMWR_TRAD_AGG_STATE_COMP[],I$1,0),"ERROR")</f>
        <v>8760</v>
      </c>
      <c r="J18" s="114">
        <f t="shared" si="1"/>
        <v>0.69639875983782495</v>
      </c>
      <c r="K18" s="111">
        <f>IFERROR(VLOOKUP($B18,MMWR_TRAD_AGG_STATE_COMP[],K$1,0),"ERROR")</f>
        <v>2163</v>
      </c>
      <c r="L18" s="112">
        <f>IFERROR(VLOOKUP($B18,MMWR_TRAD_AGG_STATE_COMP[],L$1,0),"ERROR")</f>
        <v>1304</v>
      </c>
      <c r="M18" s="114">
        <f t="shared" si="2"/>
        <v>0.60286638927415626</v>
      </c>
      <c r="N18" s="111">
        <f>IFERROR(VLOOKUP($B18,MMWR_TRAD_AGG_STATE_COMP[],N$1,0),"ERROR")</f>
        <v>6261</v>
      </c>
      <c r="O18" s="112">
        <f>IFERROR(VLOOKUP($B18,MMWR_TRAD_AGG_STATE_COMP[],O$1,0),"ERROR")</f>
        <v>5018</v>
      </c>
      <c r="P18" s="114">
        <f t="shared" si="3"/>
        <v>0.80146941383165626</v>
      </c>
      <c r="Q18" s="115">
        <f>IFERROR(VLOOKUP($B18,MMWR_TRAD_AGG_STATE_COMP[],Q$1,0),"ERROR")</f>
        <v>1396</v>
      </c>
      <c r="R18" s="115">
        <f>IFERROR(VLOOKUP($B18,MMWR_TRAD_AGG_STATE_COMP[],R$1,0),"ERROR")</f>
        <v>10</v>
      </c>
      <c r="S18" s="115">
        <f>IFERROR(VLOOKUP($B18,MMWR_APP_STATE_COMP[],S$1,0),"ERROR")</f>
        <v>7065</v>
      </c>
      <c r="T18" s="28"/>
    </row>
    <row r="19" spans="1:20" s="123" customFormat="1" x14ac:dyDescent="0.2">
      <c r="A19" s="107"/>
      <c r="B19" s="127" t="s">
        <v>372</v>
      </c>
      <c r="C19" s="109">
        <f>IFERROR(VLOOKUP($B19,MMWR_TRAD_AGG_STATE_COMP[],C$1,0),"ERROR")</f>
        <v>410</v>
      </c>
      <c r="D19" s="110">
        <f>IFERROR(VLOOKUP($B19,MMWR_TRAD_AGG_STATE_COMP[],D$1,0),"ERROR")</f>
        <v>237.8634146341</v>
      </c>
      <c r="E19" s="111">
        <f>IFERROR(VLOOKUP($B19,MMWR_TRAD_AGG_STATE_COMP[],E$1,0),"ERROR")</f>
        <v>892</v>
      </c>
      <c r="F19" s="112">
        <f>IFERROR(VLOOKUP($B19,MMWR_TRAD_AGG_STATE_COMP[],F$1,0),"ERROR")</f>
        <v>172</v>
      </c>
      <c r="G19" s="113">
        <f t="shared" si="0"/>
        <v>0.19282511210762332</v>
      </c>
      <c r="H19" s="111">
        <f>IFERROR(VLOOKUP($B19,MMWR_TRAD_AGG_STATE_COMP[],H$1,0),"ERROR")</f>
        <v>775</v>
      </c>
      <c r="I19" s="112">
        <f>IFERROR(VLOOKUP($B19,MMWR_TRAD_AGG_STATE_COMP[],I$1,0),"ERROR")</f>
        <v>356</v>
      </c>
      <c r="J19" s="114">
        <f t="shared" si="1"/>
        <v>0.45935483870967742</v>
      </c>
      <c r="K19" s="111">
        <f>IFERROR(VLOOKUP($B19,MMWR_TRAD_AGG_STATE_COMP[],K$1,0),"ERROR")</f>
        <v>323</v>
      </c>
      <c r="L19" s="112">
        <f>IFERROR(VLOOKUP($B19,MMWR_TRAD_AGG_STATE_COMP[],L$1,0),"ERROR")</f>
        <v>217</v>
      </c>
      <c r="M19" s="114">
        <f t="shared" si="2"/>
        <v>0.67182662538699689</v>
      </c>
      <c r="N19" s="111">
        <f>IFERROR(VLOOKUP($B19,MMWR_TRAD_AGG_STATE_COMP[],N$1,0),"ERROR")</f>
        <v>182</v>
      </c>
      <c r="O19" s="112">
        <f>IFERROR(VLOOKUP($B19,MMWR_TRAD_AGG_STATE_COMP[],O$1,0),"ERROR")</f>
        <v>93</v>
      </c>
      <c r="P19" s="114">
        <f t="shared" si="3"/>
        <v>0.51098901098901095</v>
      </c>
      <c r="Q19" s="115">
        <f>IFERROR(VLOOKUP($B19,MMWR_TRAD_AGG_STATE_COMP[],Q$1,0),"ERROR")</f>
        <v>204</v>
      </c>
      <c r="R19" s="115">
        <f>IFERROR(VLOOKUP($B19,MMWR_TRAD_AGG_STATE_COMP[],R$1,0),"ERROR")</f>
        <v>3</v>
      </c>
      <c r="S19" s="115">
        <f>IFERROR(VLOOKUP($B19,MMWR_APP_STATE_COMP[],S$1,0),"ERROR")</f>
        <v>360</v>
      </c>
      <c r="T19" s="28"/>
    </row>
    <row r="20" spans="1:20" s="123" customFormat="1" x14ac:dyDescent="0.2">
      <c r="A20" s="107"/>
      <c r="B20" s="127" t="s">
        <v>417</v>
      </c>
      <c r="C20" s="109">
        <f>IFERROR(VLOOKUP($B20,MMWR_TRAD_AGG_STATE_COMP[],C$1,0),"ERROR")</f>
        <v>459</v>
      </c>
      <c r="D20" s="110">
        <f>IFERROR(VLOOKUP($B20,MMWR_TRAD_AGG_STATE_COMP[],D$1,0),"ERROR")</f>
        <v>374.1350762527</v>
      </c>
      <c r="E20" s="111">
        <f>IFERROR(VLOOKUP($B20,MMWR_TRAD_AGG_STATE_COMP[],E$1,0),"ERROR")</f>
        <v>505</v>
      </c>
      <c r="F20" s="112">
        <f>IFERROR(VLOOKUP($B20,MMWR_TRAD_AGG_STATE_COMP[],F$1,0),"ERROR")</f>
        <v>108</v>
      </c>
      <c r="G20" s="113">
        <f t="shared" si="0"/>
        <v>0.21386138613861386</v>
      </c>
      <c r="H20" s="111">
        <f>IFERROR(VLOOKUP($B20,MMWR_TRAD_AGG_STATE_COMP[],H$1,0),"ERROR")</f>
        <v>937</v>
      </c>
      <c r="I20" s="112">
        <f>IFERROR(VLOOKUP($B20,MMWR_TRAD_AGG_STATE_COMP[],I$1,0),"ERROR")</f>
        <v>481</v>
      </c>
      <c r="J20" s="114">
        <f t="shared" si="1"/>
        <v>0.51334044823906089</v>
      </c>
      <c r="K20" s="111">
        <f>IFERROR(VLOOKUP($B20,MMWR_TRAD_AGG_STATE_COMP[],K$1,0),"ERROR")</f>
        <v>213</v>
      </c>
      <c r="L20" s="112">
        <f>IFERROR(VLOOKUP($B20,MMWR_TRAD_AGG_STATE_COMP[],L$1,0),"ERROR")</f>
        <v>145</v>
      </c>
      <c r="M20" s="114">
        <f t="shared" si="2"/>
        <v>0.68075117370892024</v>
      </c>
      <c r="N20" s="111">
        <f>IFERROR(VLOOKUP($B20,MMWR_TRAD_AGG_STATE_COMP[],N$1,0),"ERROR")</f>
        <v>117</v>
      </c>
      <c r="O20" s="112">
        <f>IFERROR(VLOOKUP($B20,MMWR_TRAD_AGG_STATE_COMP[],O$1,0),"ERROR")</f>
        <v>84</v>
      </c>
      <c r="P20" s="114">
        <f t="shared" si="3"/>
        <v>0.71794871794871795</v>
      </c>
      <c r="Q20" s="115">
        <f>IFERROR(VLOOKUP($B20,MMWR_TRAD_AGG_STATE_COMP[],Q$1,0),"ERROR")</f>
        <v>83</v>
      </c>
      <c r="R20" s="115">
        <f>IFERROR(VLOOKUP($B20,MMWR_TRAD_AGG_STATE_COMP[],R$1,0),"ERROR")</f>
        <v>1</v>
      </c>
      <c r="S20" s="115">
        <f>IFERROR(VLOOKUP($B20,MMWR_APP_STATE_COMP[],S$1,0),"ERROR")</f>
        <v>133</v>
      </c>
      <c r="T20" s="28"/>
    </row>
    <row r="21" spans="1:20" s="123" customFormat="1" x14ac:dyDescent="0.2">
      <c r="A21" s="107"/>
      <c r="B21" s="127" t="s">
        <v>378</v>
      </c>
      <c r="C21" s="109">
        <f>IFERROR(VLOOKUP($B21,MMWR_TRAD_AGG_STATE_COMP[],C$1,0),"ERROR")</f>
        <v>17416</v>
      </c>
      <c r="D21" s="110">
        <f>IFERROR(VLOOKUP($B21,MMWR_TRAD_AGG_STATE_COMP[],D$1,0),"ERROR")</f>
        <v>561.13958429030004</v>
      </c>
      <c r="E21" s="111">
        <f>IFERROR(VLOOKUP($B21,MMWR_TRAD_AGG_STATE_COMP[],E$1,0),"ERROR")</f>
        <v>12871</v>
      </c>
      <c r="F21" s="112">
        <f>IFERROR(VLOOKUP($B21,MMWR_TRAD_AGG_STATE_COMP[],F$1,0),"ERROR")</f>
        <v>2519</v>
      </c>
      <c r="G21" s="113">
        <f t="shared" si="0"/>
        <v>0.19571128894413797</v>
      </c>
      <c r="H21" s="111">
        <f>IFERROR(VLOOKUP($B21,MMWR_TRAD_AGG_STATE_COMP[],H$1,0),"ERROR")</f>
        <v>22000</v>
      </c>
      <c r="I21" s="112">
        <f>IFERROR(VLOOKUP($B21,MMWR_TRAD_AGG_STATE_COMP[],I$1,0),"ERROR")</f>
        <v>15818</v>
      </c>
      <c r="J21" s="114">
        <f t="shared" si="1"/>
        <v>0.71899999999999997</v>
      </c>
      <c r="K21" s="111">
        <f>IFERROR(VLOOKUP($B21,MMWR_TRAD_AGG_STATE_COMP[],K$1,0),"ERROR")</f>
        <v>8798</v>
      </c>
      <c r="L21" s="112">
        <f>IFERROR(VLOOKUP($B21,MMWR_TRAD_AGG_STATE_COMP[],L$1,0),"ERROR")</f>
        <v>6478</v>
      </c>
      <c r="M21" s="114">
        <f t="shared" si="2"/>
        <v>0.73630370538758805</v>
      </c>
      <c r="N21" s="111">
        <f>IFERROR(VLOOKUP($B21,MMWR_TRAD_AGG_STATE_COMP[],N$1,0),"ERROR")</f>
        <v>6826</v>
      </c>
      <c r="O21" s="112">
        <f>IFERROR(VLOOKUP($B21,MMWR_TRAD_AGG_STATE_COMP[],O$1,0),"ERROR")</f>
        <v>4878</v>
      </c>
      <c r="P21" s="114">
        <f t="shared" si="3"/>
        <v>0.71462056841488431</v>
      </c>
      <c r="Q21" s="115">
        <f>IFERROR(VLOOKUP($B21,MMWR_TRAD_AGG_STATE_COMP[],Q$1,0),"ERROR")</f>
        <v>915</v>
      </c>
      <c r="R21" s="115">
        <f>IFERROR(VLOOKUP($B21,MMWR_TRAD_AGG_STATE_COMP[],R$1,0),"ERROR")</f>
        <v>21</v>
      </c>
      <c r="S21" s="115">
        <f>IFERROR(VLOOKUP($B21,MMWR_APP_STATE_COMP[],S$1,0),"ERROR")</f>
        <v>15010</v>
      </c>
      <c r="T21" s="28"/>
    </row>
    <row r="22" spans="1:20" s="123" customFormat="1" x14ac:dyDescent="0.2">
      <c r="A22" s="107"/>
      <c r="B22" s="127" t="s">
        <v>379</v>
      </c>
      <c r="C22" s="109">
        <f>IFERROR(VLOOKUP($B22,MMWR_TRAD_AGG_STATE_COMP[],C$1,0),"ERROR")</f>
        <v>2223</v>
      </c>
      <c r="D22" s="110">
        <f>IFERROR(VLOOKUP($B22,MMWR_TRAD_AGG_STATE_COMP[],D$1,0),"ERROR")</f>
        <v>272.506522717</v>
      </c>
      <c r="E22" s="111">
        <f>IFERROR(VLOOKUP($B22,MMWR_TRAD_AGG_STATE_COMP[],E$1,0),"ERROR")</f>
        <v>2487</v>
      </c>
      <c r="F22" s="112">
        <f>IFERROR(VLOOKUP($B22,MMWR_TRAD_AGG_STATE_COMP[],F$1,0),"ERROR")</f>
        <v>399</v>
      </c>
      <c r="G22" s="113">
        <f t="shared" si="0"/>
        <v>0.16043425814234016</v>
      </c>
      <c r="H22" s="111">
        <f>IFERROR(VLOOKUP($B22,MMWR_TRAD_AGG_STATE_COMP[],H$1,0),"ERROR")</f>
        <v>3640</v>
      </c>
      <c r="I22" s="112">
        <f>IFERROR(VLOOKUP($B22,MMWR_TRAD_AGG_STATE_COMP[],I$1,0),"ERROR")</f>
        <v>2197</v>
      </c>
      <c r="J22" s="114">
        <f t="shared" si="1"/>
        <v>0.60357142857142854</v>
      </c>
      <c r="K22" s="111">
        <f>IFERROR(VLOOKUP($B22,MMWR_TRAD_AGG_STATE_COMP[],K$1,0),"ERROR")</f>
        <v>463</v>
      </c>
      <c r="L22" s="112">
        <f>IFERROR(VLOOKUP($B22,MMWR_TRAD_AGG_STATE_COMP[],L$1,0),"ERROR")</f>
        <v>219</v>
      </c>
      <c r="M22" s="114">
        <f t="shared" si="2"/>
        <v>0.47300215982721383</v>
      </c>
      <c r="N22" s="111">
        <f>IFERROR(VLOOKUP($B22,MMWR_TRAD_AGG_STATE_COMP[],N$1,0),"ERROR")</f>
        <v>1295</v>
      </c>
      <c r="O22" s="112">
        <f>IFERROR(VLOOKUP($B22,MMWR_TRAD_AGG_STATE_COMP[],O$1,0),"ERROR")</f>
        <v>933</v>
      </c>
      <c r="P22" s="114">
        <f t="shared" si="3"/>
        <v>0.72046332046332051</v>
      </c>
      <c r="Q22" s="115">
        <f>IFERROR(VLOOKUP($B22,MMWR_TRAD_AGG_STATE_COMP[],Q$1,0),"ERROR")</f>
        <v>347</v>
      </c>
      <c r="R22" s="115">
        <f>IFERROR(VLOOKUP($B22,MMWR_TRAD_AGG_STATE_COMP[],R$1,0),"ERROR")</f>
        <v>14</v>
      </c>
      <c r="S22" s="115">
        <f>IFERROR(VLOOKUP($B22,MMWR_APP_STATE_COMP[],S$1,0),"ERROR")</f>
        <v>2315</v>
      </c>
      <c r="T22" s="28"/>
    </row>
    <row r="23" spans="1:20" s="123" customFormat="1" x14ac:dyDescent="0.2">
      <c r="A23" s="107"/>
      <c r="B23" s="126" t="s">
        <v>390</v>
      </c>
      <c r="C23" s="102">
        <f>IF(SUM(C24:C35)&lt;&gt;VLOOKUP($B23,MMWR_TRAD_AGG_ST_DISTRICT_COMP[],C$1,0),"ERROR",
VLOOKUP($B23,MMWR_TRAD_AGG_ST_DISTRICT_COMP[],C$1,0))</f>
        <v>43142</v>
      </c>
      <c r="D23" s="103">
        <f>IFERROR(VLOOKUP($B23,MMWR_TRAD_AGG_ST_DISTRICT_COMP[],D$1,0),"ERROR")</f>
        <v>386.30710212790001</v>
      </c>
      <c r="E23" s="102">
        <f>IF(SUM(E24:E35)&lt;&gt;VLOOKUP($B23,MMWR_TRAD_AGG_ST_DISTRICT_COMP[],E$1,0),"ERROR",
VLOOKUP($B23,MMWR_TRAD_AGG_ST_DISTRICT_COMP[],E$1,0))</f>
        <v>53286</v>
      </c>
      <c r="F23" s="102">
        <f>IF(SUM(F24:F35)&lt;&gt;VLOOKUP($B23,MMWR_TRAD_AGG_ST_DISTRICT_COMP[],F$1,0),"ERROR",
VLOOKUP($B23,MMWR_TRAD_AGG_ST_DISTRICT_COMP[],F$1,0))</f>
        <v>10708</v>
      </c>
      <c r="G23" s="104">
        <f t="shared" si="0"/>
        <v>0.20095334609465901</v>
      </c>
      <c r="H23" s="102">
        <f>IF(SUM(H24:H35)&lt;&gt;VLOOKUP($B23,MMWR_TRAD_AGG_ST_DISTRICT_COMP[],H$1,0),"ERROR",
VLOOKUP($B23,MMWR_TRAD_AGG_ST_DISTRICT_COMP[],H$1,0))</f>
        <v>68218</v>
      </c>
      <c r="I23" s="102">
        <f>IF(SUM(I24:I35)&lt;&gt;VLOOKUP($B23,MMWR_TRAD_AGG_ST_DISTRICT_COMP[],I$1,0),"ERROR",
VLOOKUP($B23,MMWR_TRAD_AGG_ST_DISTRICT_COMP[],I$1,0))</f>
        <v>40160</v>
      </c>
      <c r="J23" s="105">
        <f t="shared" si="1"/>
        <v>0.58870092937347918</v>
      </c>
      <c r="K23" s="102">
        <f>IF(SUM(K24:K35)&lt;&gt;VLOOKUP($B23,MMWR_TRAD_AGG_ST_DISTRICT_COMP[],K$1,0),"ERROR",
VLOOKUP($B23,MMWR_TRAD_AGG_ST_DISTRICT_COMP[],K$1,0))</f>
        <v>15067</v>
      </c>
      <c r="L23" s="102">
        <f>IF(SUM(L24:L35)&lt;&gt;VLOOKUP($B23,MMWR_TRAD_AGG_ST_DISTRICT_COMP[],L$1,0),"ERROR",
VLOOKUP($B23,MMWR_TRAD_AGG_ST_DISTRICT_COMP[],L$1,0))</f>
        <v>9596</v>
      </c>
      <c r="M23" s="105">
        <f t="shared" si="2"/>
        <v>0.6368885644122918</v>
      </c>
      <c r="N23" s="102">
        <f>IF(SUM(N24:N35)&lt;&gt;VLOOKUP($B23,MMWR_TRAD_AGG_ST_DISTRICT_COMP[],N$1,0),"ERROR",
VLOOKUP($B23,MMWR_TRAD_AGG_ST_DISTRICT_COMP[],N$1,0))</f>
        <v>23144</v>
      </c>
      <c r="O23" s="102">
        <f>IF(SUM(O24:O35)&lt;&gt;VLOOKUP($B23,MMWR_TRAD_AGG_ST_DISTRICT_COMP[],O$1,0),"ERROR",
VLOOKUP($B23,MMWR_TRAD_AGG_ST_DISTRICT_COMP[],O$1,0))</f>
        <v>13939</v>
      </c>
      <c r="P23" s="105">
        <f t="shared" si="3"/>
        <v>0.60227272727272729</v>
      </c>
      <c r="Q23" s="102">
        <f>IF(SUM(Q24:Q35)&lt;&gt;VLOOKUP($B23,MMWR_TRAD_AGG_ST_DISTRICT_COMP[],Q$1,0),"ERROR",
VLOOKUP($B23,MMWR_TRAD_AGG_ST_DISTRICT_COMP[],Q$1,0))</f>
        <v>3527</v>
      </c>
      <c r="R23" s="102">
        <f>IF(SUM(R24:R35)&lt;&gt;VLOOKUP($B23,MMWR_TRAD_AGG_ST_DISTRICT_COMP[],R$1,0),"ERROR",
VLOOKUP($B23,MMWR_TRAD_AGG_ST_DISTRICT_COMP[],R$1,0))</f>
        <v>1048</v>
      </c>
      <c r="S23" s="106">
        <f>SUM(S24:S35)</f>
        <v>53387</v>
      </c>
      <c r="T23" s="28"/>
    </row>
    <row r="24" spans="1:20" s="123" customFormat="1" x14ac:dyDescent="0.2">
      <c r="A24" s="92"/>
      <c r="B24" s="127" t="s">
        <v>394</v>
      </c>
      <c r="C24" s="109">
        <f>IFERROR(VLOOKUP($B24,MMWR_TRAD_AGG_STATE_COMP[],C$1,0),"ERROR")</f>
        <v>7199</v>
      </c>
      <c r="D24" s="110">
        <f>IFERROR(VLOOKUP($B24,MMWR_TRAD_AGG_STATE_COMP[],D$1,0),"ERROR")</f>
        <v>489.52826781499999</v>
      </c>
      <c r="E24" s="111">
        <f>IFERROR(VLOOKUP($B24,MMWR_TRAD_AGG_STATE_COMP[],E$1,0),"ERROR")</f>
        <v>7548</v>
      </c>
      <c r="F24" s="112">
        <f>IFERROR(VLOOKUP($B24,MMWR_TRAD_AGG_STATE_COMP[],F$1,0),"ERROR")</f>
        <v>1815</v>
      </c>
      <c r="G24" s="113">
        <f t="shared" si="0"/>
        <v>0.2404610492845787</v>
      </c>
      <c r="H24" s="111">
        <f>IFERROR(VLOOKUP($B24,MMWR_TRAD_AGG_STATE_COMP[],H$1,0),"ERROR")</f>
        <v>9870</v>
      </c>
      <c r="I24" s="112">
        <f>IFERROR(VLOOKUP($B24,MMWR_TRAD_AGG_STATE_COMP[],I$1,0),"ERROR")</f>
        <v>6831</v>
      </c>
      <c r="J24" s="114">
        <f t="shared" si="1"/>
        <v>0.69209726443768993</v>
      </c>
      <c r="K24" s="111">
        <f>IFERROR(VLOOKUP($B24,MMWR_TRAD_AGG_STATE_COMP[],K$1,0),"ERROR")</f>
        <v>2196</v>
      </c>
      <c r="L24" s="112">
        <f>IFERROR(VLOOKUP($B24,MMWR_TRAD_AGG_STATE_COMP[],L$1,0),"ERROR")</f>
        <v>1655</v>
      </c>
      <c r="M24" s="114">
        <f t="shared" si="2"/>
        <v>0.75364298724954459</v>
      </c>
      <c r="N24" s="111">
        <f>IFERROR(VLOOKUP($B24,MMWR_TRAD_AGG_STATE_COMP[],N$1,0),"ERROR")</f>
        <v>2339</v>
      </c>
      <c r="O24" s="112">
        <f>IFERROR(VLOOKUP($B24,MMWR_TRAD_AGG_STATE_COMP[],O$1,0),"ERROR")</f>
        <v>1353</v>
      </c>
      <c r="P24" s="114">
        <f t="shared" si="3"/>
        <v>0.57845233005557928</v>
      </c>
      <c r="Q24" s="115">
        <f>IFERROR(VLOOKUP($B24,MMWR_TRAD_AGG_STATE_COMP[],Q$1,0),"ERROR")</f>
        <v>658</v>
      </c>
      <c r="R24" s="115">
        <f>IFERROR(VLOOKUP($B24,MMWR_TRAD_AGG_STATE_COMP[],R$1,0),"ERROR")</f>
        <v>209</v>
      </c>
      <c r="S24" s="115">
        <f>IFERROR(VLOOKUP($B24,MMWR_APP_STATE_COMP[],S$1,0),"ERROR")</f>
        <v>8312</v>
      </c>
      <c r="T24" s="28"/>
    </row>
    <row r="25" spans="1:20" s="123" customFormat="1" x14ac:dyDescent="0.2">
      <c r="A25" s="107"/>
      <c r="B25" s="127" t="s">
        <v>392</v>
      </c>
      <c r="C25" s="109">
        <f>IFERROR(VLOOKUP($B25,MMWR_TRAD_AGG_STATE_COMP[],C$1,0),"ERROR")</f>
        <v>7306</v>
      </c>
      <c r="D25" s="110">
        <f>IFERROR(VLOOKUP($B25,MMWR_TRAD_AGG_STATE_COMP[],D$1,0),"ERROR")</f>
        <v>606.90158773610005</v>
      </c>
      <c r="E25" s="111">
        <f>IFERROR(VLOOKUP($B25,MMWR_TRAD_AGG_STATE_COMP[],E$1,0),"ERROR")</f>
        <v>5261</v>
      </c>
      <c r="F25" s="112">
        <f>IFERROR(VLOOKUP($B25,MMWR_TRAD_AGG_STATE_COMP[],F$1,0),"ERROR")</f>
        <v>933</v>
      </c>
      <c r="G25" s="113">
        <f t="shared" si="0"/>
        <v>0.17734271051130965</v>
      </c>
      <c r="H25" s="111">
        <f>IFERROR(VLOOKUP($B25,MMWR_TRAD_AGG_STATE_COMP[],H$1,0),"ERROR")</f>
        <v>11258</v>
      </c>
      <c r="I25" s="112">
        <f>IFERROR(VLOOKUP($B25,MMWR_TRAD_AGG_STATE_COMP[],I$1,0),"ERROR")</f>
        <v>7447</v>
      </c>
      <c r="J25" s="114">
        <f t="shared" si="1"/>
        <v>0.66148516610410379</v>
      </c>
      <c r="K25" s="111">
        <f>IFERROR(VLOOKUP($B25,MMWR_TRAD_AGG_STATE_COMP[],K$1,0),"ERROR")</f>
        <v>2176</v>
      </c>
      <c r="L25" s="112">
        <f>IFERROR(VLOOKUP($B25,MMWR_TRAD_AGG_STATE_COMP[],L$1,0),"ERROR")</f>
        <v>1486</v>
      </c>
      <c r="M25" s="114">
        <f t="shared" si="2"/>
        <v>0.68290441176470584</v>
      </c>
      <c r="N25" s="111">
        <f>IFERROR(VLOOKUP($B25,MMWR_TRAD_AGG_STATE_COMP[],N$1,0),"ERROR")</f>
        <v>2555</v>
      </c>
      <c r="O25" s="112">
        <f>IFERROR(VLOOKUP($B25,MMWR_TRAD_AGG_STATE_COMP[],O$1,0),"ERROR")</f>
        <v>1828</v>
      </c>
      <c r="P25" s="114">
        <f t="shared" si="3"/>
        <v>0.71545988258317028</v>
      </c>
      <c r="Q25" s="115">
        <f>IFERROR(VLOOKUP($B25,MMWR_TRAD_AGG_STATE_COMP[],Q$1,0),"ERROR")</f>
        <v>478</v>
      </c>
      <c r="R25" s="115">
        <f>IFERROR(VLOOKUP($B25,MMWR_TRAD_AGG_STATE_COMP[],R$1,0),"ERROR")</f>
        <v>190</v>
      </c>
      <c r="S25" s="115">
        <f>IFERROR(VLOOKUP($B25,MMWR_APP_STATE_COMP[],S$1,0),"ERROR")</f>
        <v>8250</v>
      </c>
      <c r="T25" s="28"/>
    </row>
    <row r="26" spans="1:20" s="123" customFormat="1" x14ac:dyDescent="0.2">
      <c r="A26" s="107"/>
      <c r="B26" s="127" t="s">
        <v>399</v>
      </c>
      <c r="C26" s="109">
        <f>IFERROR(VLOOKUP($B26,MMWR_TRAD_AGG_STATE_COMP[],C$1,0),"ERROR")</f>
        <v>1452</v>
      </c>
      <c r="D26" s="110">
        <f>IFERROR(VLOOKUP($B26,MMWR_TRAD_AGG_STATE_COMP[],D$1,0),"ERROR")</f>
        <v>190.75344352619999</v>
      </c>
      <c r="E26" s="111">
        <f>IFERROR(VLOOKUP($B26,MMWR_TRAD_AGG_STATE_COMP[],E$1,0),"ERROR")</f>
        <v>2385</v>
      </c>
      <c r="F26" s="112">
        <f>IFERROR(VLOOKUP($B26,MMWR_TRAD_AGG_STATE_COMP[],F$1,0),"ERROR")</f>
        <v>376</v>
      </c>
      <c r="G26" s="113">
        <f t="shared" si="0"/>
        <v>0.15765199161425578</v>
      </c>
      <c r="H26" s="111">
        <f>IFERROR(VLOOKUP($B26,MMWR_TRAD_AGG_STATE_COMP[],H$1,0),"ERROR")</f>
        <v>2446</v>
      </c>
      <c r="I26" s="112">
        <f>IFERROR(VLOOKUP($B26,MMWR_TRAD_AGG_STATE_COMP[],I$1,0),"ERROR")</f>
        <v>1111</v>
      </c>
      <c r="J26" s="114">
        <f t="shared" si="1"/>
        <v>0.45421095666394112</v>
      </c>
      <c r="K26" s="111">
        <f>IFERROR(VLOOKUP($B26,MMWR_TRAD_AGG_STATE_COMP[],K$1,0),"ERROR")</f>
        <v>436</v>
      </c>
      <c r="L26" s="112">
        <f>IFERROR(VLOOKUP($B26,MMWR_TRAD_AGG_STATE_COMP[],L$1,0),"ERROR")</f>
        <v>217</v>
      </c>
      <c r="M26" s="114">
        <f t="shared" si="2"/>
        <v>0.49770642201834864</v>
      </c>
      <c r="N26" s="111">
        <f>IFERROR(VLOOKUP($B26,MMWR_TRAD_AGG_STATE_COMP[],N$1,0),"ERROR")</f>
        <v>548</v>
      </c>
      <c r="O26" s="112">
        <f>IFERROR(VLOOKUP($B26,MMWR_TRAD_AGG_STATE_COMP[],O$1,0),"ERROR")</f>
        <v>295</v>
      </c>
      <c r="P26" s="114">
        <f t="shared" si="3"/>
        <v>0.53832116788321172</v>
      </c>
      <c r="Q26" s="115">
        <f>IFERROR(VLOOKUP($B26,MMWR_TRAD_AGG_STATE_COMP[],Q$1,0),"ERROR")</f>
        <v>3</v>
      </c>
      <c r="R26" s="115">
        <f>IFERROR(VLOOKUP($B26,MMWR_TRAD_AGG_STATE_COMP[],R$1,0),"ERROR")</f>
        <v>8</v>
      </c>
      <c r="S26" s="115">
        <f>IFERROR(VLOOKUP($B26,MMWR_APP_STATE_COMP[],S$1,0),"ERROR")</f>
        <v>1286</v>
      </c>
      <c r="T26" s="28"/>
    </row>
    <row r="27" spans="1:20" s="123" customFormat="1" x14ac:dyDescent="0.2">
      <c r="A27" s="107"/>
      <c r="B27" s="127" t="s">
        <v>422</v>
      </c>
      <c r="C27" s="109">
        <f>IFERROR(VLOOKUP($B27,MMWR_TRAD_AGG_STATE_COMP[],C$1,0),"ERROR")</f>
        <v>2087</v>
      </c>
      <c r="D27" s="110">
        <f>IFERROR(VLOOKUP($B27,MMWR_TRAD_AGG_STATE_COMP[],D$1,0),"ERROR")</f>
        <v>234.56013416389999</v>
      </c>
      <c r="E27" s="111">
        <f>IFERROR(VLOOKUP($B27,MMWR_TRAD_AGG_STATE_COMP[],E$1,0),"ERROR")</f>
        <v>2817</v>
      </c>
      <c r="F27" s="112">
        <f>IFERROR(VLOOKUP($B27,MMWR_TRAD_AGG_STATE_COMP[],F$1,0),"ERROR")</f>
        <v>495</v>
      </c>
      <c r="G27" s="113">
        <f t="shared" si="0"/>
        <v>0.1757188498402556</v>
      </c>
      <c r="H27" s="111">
        <f>IFERROR(VLOOKUP($B27,MMWR_TRAD_AGG_STATE_COMP[],H$1,0),"ERROR")</f>
        <v>3292</v>
      </c>
      <c r="I27" s="112">
        <f>IFERROR(VLOOKUP($B27,MMWR_TRAD_AGG_STATE_COMP[],I$1,0),"ERROR")</f>
        <v>1689</v>
      </c>
      <c r="J27" s="114">
        <f t="shared" si="1"/>
        <v>0.51306196840826246</v>
      </c>
      <c r="K27" s="111">
        <f>IFERROR(VLOOKUP($B27,MMWR_TRAD_AGG_STATE_COMP[],K$1,0),"ERROR")</f>
        <v>1148</v>
      </c>
      <c r="L27" s="112">
        <f>IFERROR(VLOOKUP($B27,MMWR_TRAD_AGG_STATE_COMP[],L$1,0),"ERROR")</f>
        <v>431</v>
      </c>
      <c r="M27" s="114">
        <f t="shared" si="2"/>
        <v>0.37543554006968644</v>
      </c>
      <c r="N27" s="111">
        <f>IFERROR(VLOOKUP($B27,MMWR_TRAD_AGG_STATE_COMP[],N$1,0),"ERROR")</f>
        <v>649</v>
      </c>
      <c r="O27" s="112">
        <f>IFERROR(VLOOKUP($B27,MMWR_TRAD_AGG_STATE_COMP[],O$1,0),"ERROR")</f>
        <v>316</v>
      </c>
      <c r="P27" s="114">
        <f t="shared" si="3"/>
        <v>0.48690292758089371</v>
      </c>
      <c r="Q27" s="115">
        <f>IFERROR(VLOOKUP($B27,MMWR_TRAD_AGG_STATE_COMP[],Q$1,0),"ERROR")</f>
        <v>8</v>
      </c>
      <c r="R27" s="115">
        <f>IFERROR(VLOOKUP($B27,MMWR_TRAD_AGG_STATE_COMP[],R$1,0),"ERROR")</f>
        <v>13</v>
      </c>
      <c r="S27" s="115">
        <f>IFERROR(VLOOKUP($B27,MMWR_APP_STATE_COMP[],S$1,0),"ERROR")</f>
        <v>1337</v>
      </c>
      <c r="T27" s="28"/>
    </row>
    <row r="28" spans="1:20" s="123" customFormat="1" x14ac:dyDescent="0.2">
      <c r="A28" s="107"/>
      <c r="B28" s="127" t="s">
        <v>395</v>
      </c>
      <c r="C28" s="109">
        <f>IFERROR(VLOOKUP($B28,MMWR_TRAD_AGG_STATE_COMP[],C$1,0),"ERROR")</f>
        <v>4410</v>
      </c>
      <c r="D28" s="110">
        <f>IFERROR(VLOOKUP($B28,MMWR_TRAD_AGG_STATE_COMP[],D$1,0),"ERROR")</f>
        <v>276.16870748299999</v>
      </c>
      <c r="E28" s="111">
        <f>IFERROR(VLOOKUP($B28,MMWR_TRAD_AGG_STATE_COMP[],E$1,0),"ERROR")</f>
        <v>7478</v>
      </c>
      <c r="F28" s="112">
        <f>IFERROR(VLOOKUP($B28,MMWR_TRAD_AGG_STATE_COMP[],F$1,0),"ERROR")</f>
        <v>1773</v>
      </c>
      <c r="G28" s="113">
        <f t="shared" si="0"/>
        <v>0.23709548007488634</v>
      </c>
      <c r="H28" s="111">
        <f>IFERROR(VLOOKUP($B28,MMWR_TRAD_AGG_STATE_COMP[],H$1,0),"ERROR")</f>
        <v>7828</v>
      </c>
      <c r="I28" s="112">
        <f>IFERROR(VLOOKUP($B28,MMWR_TRAD_AGG_STATE_COMP[],I$1,0),"ERROR")</f>
        <v>4495</v>
      </c>
      <c r="J28" s="114">
        <f t="shared" si="1"/>
        <v>0.57422074603985696</v>
      </c>
      <c r="K28" s="111">
        <f>IFERROR(VLOOKUP($B28,MMWR_TRAD_AGG_STATE_COMP[],K$1,0),"ERROR")</f>
        <v>1746</v>
      </c>
      <c r="L28" s="112">
        <f>IFERROR(VLOOKUP($B28,MMWR_TRAD_AGG_STATE_COMP[],L$1,0),"ERROR")</f>
        <v>1064</v>
      </c>
      <c r="M28" s="114">
        <f t="shared" si="2"/>
        <v>0.60939289805269192</v>
      </c>
      <c r="N28" s="111">
        <f>IFERROR(VLOOKUP($B28,MMWR_TRAD_AGG_STATE_COMP[],N$1,0),"ERROR")</f>
        <v>1837</v>
      </c>
      <c r="O28" s="112">
        <f>IFERROR(VLOOKUP($B28,MMWR_TRAD_AGG_STATE_COMP[],O$1,0),"ERROR")</f>
        <v>982</v>
      </c>
      <c r="P28" s="114">
        <f t="shared" si="3"/>
        <v>0.53456722917800759</v>
      </c>
      <c r="Q28" s="115">
        <f>IFERROR(VLOOKUP($B28,MMWR_TRAD_AGG_STATE_COMP[],Q$1,0),"ERROR")</f>
        <v>679</v>
      </c>
      <c r="R28" s="115">
        <f>IFERROR(VLOOKUP($B28,MMWR_TRAD_AGG_STATE_COMP[],R$1,0),"ERROR")</f>
        <v>198</v>
      </c>
      <c r="S28" s="115">
        <f>IFERROR(VLOOKUP($B28,MMWR_APP_STATE_COMP[],S$1,0),"ERROR")</f>
        <v>5925</v>
      </c>
      <c r="T28" s="28"/>
    </row>
    <row r="29" spans="1:20" s="123" customFormat="1" x14ac:dyDescent="0.2">
      <c r="A29" s="107"/>
      <c r="B29" s="127" t="s">
        <v>401</v>
      </c>
      <c r="C29" s="109">
        <f>IFERROR(VLOOKUP($B29,MMWR_TRAD_AGG_STATE_COMP[],C$1,0),"ERROR")</f>
        <v>1417</v>
      </c>
      <c r="D29" s="110">
        <f>IFERROR(VLOOKUP($B29,MMWR_TRAD_AGG_STATE_COMP[],D$1,0),"ERROR")</f>
        <v>196.55610444600001</v>
      </c>
      <c r="E29" s="111">
        <f>IFERROR(VLOOKUP($B29,MMWR_TRAD_AGG_STATE_COMP[],E$1,0),"ERROR")</f>
        <v>4916</v>
      </c>
      <c r="F29" s="112">
        <f>IFERROR(VLOOKUP($B29,MMWR_TRAD_AGG_STATE_COMP[],F$1,0),"ERROR")</f>
        <v>891</v>
      </c>
      <c r="G29" s="113">
        <f t="shared" si="0"/>
        <v>0.18124491456468675</v>
      </c>
      <c r="H29" s="111">
        <f>IFERROR(VLOOKUP($B29,MMWR_TRAD_AGG_STATE_COMP[],H$1,0),"ERROR")</f>
        <v>3202</v>
      </c>
      <c r="I29" s="112">
        <f>IFERROR(VLOOKUP($B29,MMWR_TRAD_AGG_STATE_COMP[],I$1,0),"ERROR")</f>
        <v>1462</v>
      </c>
      <c r="J29" s="114">
        <f t="shared" si="1"/>
        <v>0.45658963148032478</v>
      </c>
      <c r="K29" s="111">
        <f>IFERROR(VLOOKUP($B29,MMWR_TRAD_AGG_STATE_COMP[],K$1,0),"ERROR")</f>
        <v>667</v>
      </c>
      <c r="L29" s="112">
        <f>IFERROR(VLOOKUP($B29,MMWR_TRAD_AGG_STATE_COMP[],L$1,0),"ERROR")</f>
        <v>287</v>
      </c>
      <c r="M29" s="114">
        <f t="shared" si="2"/>
        <v>0.43028485757121437</v>
      </c>
      <c r="N29" s="111">
        <f>IFERROR(VLOOKUP($B29,MMWR_TRAD_AGG_STATE_COMP[],N$1,0),"ERROR")</f>
        <v>1188</v>
      </c>
      <c r="O29" s="112">
        <f>IFERROR(VLOOKUP($B29,MMWR_TRAD_AGG_STATE_COMP[],O$1,0),"ERROR")</f>
        <v>664</v>
      </c>
      <c r="P29" s="114">
        <f t="shared" si="3"/>
        <v>0.55892255892255893</v>
      </c>
      <c r="Q29" s="115">
        <f>IFERROR(VLOOKUP($B29,MMWR_TRAD_AGG_STATE_COMP[],Q$1,0),"ERROR")</f>
        <v>6</v>
      </c>
      <c r="R29" s="115">
        <f>IFERROR(VLOOKUP($B29,MMWR_TRAD_AGG_STATE_COMP[],R$1,0),"ERROR")</f>
        <v>5</v>
      </c>
      <c r="S29" s="115">
        <f>IFERROR(VLOOKUP($B29,MMWR_APP_STATE_COMP[],S$1,0),"ERROR")</f>
        <v>2244</v>
      </c>
      <c r="T29" s="28"/>
    </row>
    <row r="30" spans="1:20" s="123" customFormat="1" x14ac:dyDescent="0.2">
      <c r="A30" s="107"/>
      <c r="B30" s="127" t="s">
        <v>397</v>
      </c>
      <c r="C30" s="109">
        <f>IFERROR(VLOOKUP($B30,MMWR_TRAD_AGG_STATE_COMP[],C$1,0),"ERROR")</f>
        <v>5743</v>
      </c>
      <c r="D30" s="110">
        <f>IFERROR(VLOOKUP($B30,MMWR_TRAD_AGG_STATE_COMP[],D$1,0),"ERROR")</f>
        <v>281.79174647399998</v>
      </c>
      <c r="E30" s="111">
        <f>IFERROR(VLOOKUP($B30,MMWR_TRAD_AGG_STATE_COMP[],E$1,0),"ERROR")</f>
        <v>6388</v>
      </c>
      <c r="F30" s="112">
        <f>IFERROR(VLOOKUP($B30,MMWR_TRAD_AGG_STATE_COMP[],F$1,0),"ERROR")</f>
        <v>1003</v>
      </c>
      <c r="G30" s="113">
        <f t="shared" si="0"/>
        <v>0.15701314965560426</v>
      </c>
      <c r="H30" s="111">
        <f>IFERROR(VLOOKUP($B30,MMWR_TRAD_AGG_STATE_COMP[],H$1,0),"ERROR")</f>
        <v>8279</v>
      </c>
      <c r="I30" s="112">
        <f>IFERROR(VLOOKUP($B30,MMWR_TRAD_AGG_STATE_COMP[],I$1,0),"ERROR")</f>
        <v>5105</v>
      </c>
      <c r="J30" s="114">
        <f t="shared" si="1"/>
        <v>0.61662036477835491</v>
      </c>
      <c r="K30" s="111">
        <f>IFERROR(VLOOKUP($B30,MMWR_TRAD_AGG_STATE_COMP[],K$1,0),"ERROR")</f>
        <v>2641</v>
      </c>
      <c r="L30" s="112">
        <f>IFERROR(VLOOKUP($B30,MMWR_TRAD_AGG_STATE_COMP[],L$1,0),"ERROR")</f>
        <v>1972</v>
      </c>
      <c r="M30" s="114">
        <f t="shared" si="2"/>
        <v>0.74668686103748583</v>
      </c>
      <c r="N30" s="111">
        <f>IFERROR(VLOOKUP($B30,MMWR_TRAD_AGG_STATE_COMP[],N$1,0),"ERROR")</f>
        <v>8190</v>
      </c>
      <c r="O30" s="112">
        <f>IFERROR(VLOOKUP($B30,MMWR_TRAD_AGG_STATE_COMP[],O$1,0),"ERROR")</f>
        <v>5629</v>
      </c>
      <c r="P30" s="114">
        <f t="shared" si="3"/>
        <v>0.6873015873015873</v>
      </c>
      <c r="Q30" s="115">
        <f>IFERROR(VLOOKUP($B30,MMWR_TRAD_AGG_STATE_COMP[],Q$1,0),"ERROR")</f>
        <v>603</v>
      </c>
      <c r="R30" s="115">
        <f>IFERROR(VLOOKUP($B30,MMWR_TRAD_AGG_STATE_COMP[],R$1,0),"ERROR")</f>
        <v>75</v>
      </c>
      <c r="S30" s="115">
        <f>IFERROR(VLOOKUP($B30,MMWR_APP_STATE_COMP[],S$1,0),"ERROR")</f>
        <v>6862</v>
      </c>
      <c r="T30" s="28"/>
    </row>
    <row r="31" spans="1:20" s="123" customFormat="1" x14ac:dyDescent="0.2">
      <c r="A31" s="107"/>
      <c r="B31" s="127" t="s">
        <v>400</v>
      </c>
      <c r="C31" s="109">
        <f>IFERROR(VLOOKUP($B31,MMWR_TRAD_AGG_STATE_COMP[],C$1,0),"ERROR")</f>
        <v>1386</v>
      </c>
      <c r="D31" s="110">
        <f>IFERROR(VLOOKUP($B31,MMWR_TRAD_AGG_STATE_COMP[],D$1,0),"ERROR")</f>
        <v>220.45743145739999</v>
      </c>
      <c r="E31" s="111">
        <f>IFERROR(VLOOKUP($B31,MMWR_TRAD_AGG_STATE_COMP[],E$1,0),"ERROR")</f>
        <v>2120</v>
      </c>
      <c r="F31" s="112">
        <f>IFERROR(VLOOKUP($B31,MMWR_TRAD_AGG_STATE_COMP[],F$1,0),"ERROR")</f>
        <v>244</v>
      </c>
      <c r="G31" s="113">
        <f t="shared" si="0"/>
        <v>0.11509433962264151</v>
      </c>
      <c r="H31" s="111">
        <f>IFERROR(VLOOKUP($B31,MMWR_TRAD_AGG_STATE_COMP[],H$1,0),"ERROR")</f>
        <v>2225</v>
      </c>
      <c r="I31" s="112">
        <f>IFERROR(VLOOKUP($B31,MMWR_TRAD_AGG_STATE_COMP[],I$1,0),"ERROR")</f>
        <v>1117</v>
      </c>
      <c r="J31" s="114">
        <f t="shared" si="1"/>
        <v>0.5020224719101124</v>
      </c>
      <c r="K31" s="111">
        <f>IFERROR(VLOOKUP($B31,MMWR_TRAD_AGG_STATE_COMP[],K$1,0),"ERROR")</f>
        <v>820</v>
      </c>
      <c r="L31" s="112">
        <f>IFERROR(VLOOKUP($B31,MMWR_TRAD_AGG_STATE_COMP[],L$1,0),"ERROR")</f>
        <v>570</v>
      </c>
      <c r="M31" s="114">
        <f t="shared" si="2"/>
        <v>0.69512195121951215</v>
      </c>
      <c r="N31" s="111">
        <f>IFERROR(VLOOKUP($B31,MMWR_TRAD_AGG_STATE_COMP[],N$1,0),"ERROR")</f>
        <v>546</v>
      </c>
      <c r="O31" s="112">
        <f>IFERROR(VLOOKUP($B31,MMWR_TRAD_AGG_STATE_COMP[],O$1,0),"ERROR")</f>
        <v>251</v>
      </c>
      <c r="P31" s="114">
        <f t="shared" si="3"/>
        <v>0.45970695970695968</v>
      </c>
      <c r="Q31" s="115">
        <f>IFERROR(VLOOKUP($B31,MMWR_TRAD_AGG_STATE_COMP[],Q$1,0),"ERROR")</f>
        <v>2</v>
      </c>
      <c r="R31" s="115">
        <f>IFERROR(VLOOKUP($B31,MMWR_TRAD_AGG_STATE_COMP[],R$1,0),"ERROR")</f>
        <v>13</v>
      </c>
      <c r="S31" s="115">
        <f>IFERROR(VLOOKUP($B31,MMWR_APP_STATE_COMP[],S$1,0),"ERROR")</f>
        <v>1294</v>
      </c>
      <c r="T31" s="28"/>
    </row>
    <row r="32" spans="1:20" s="123" customFormat="1" x14ac:dyDescent="0.2">
      <c r="A32" s="107"/>
      <c r="B32" s="127" t="s">
        <v>419</v>
      </c>
      <c r="C32" s="109">
        <f>IFERROR(VLOOKUP($B32,MMWR_TRAD_AGG_STATE_COMP[],C$1,0),"ERROR")</f>
        <v>171</v>
      </c>
      <c r="D32" s="110">
        <f>IFERROR(VLOOKUP($B32,MMWR_TRAD_AGG_STATE_COMP[],D$1,0),"ERROR")</f>
        <v>306.63157894739999</v>
      </c>
      <c r="E32" s="111">
        <f>IFERROR(VLOOKUP($B32,MMWR_TRAD_AGG_STATE_COMP[],E$1,0),"ERROR")</f>
        <v>644</v>
      </c>
      <c r="F32" s="112">
        <f>IFERROR(VLOOKUP($B32,MMWR_TRAD_AGG_STATE_COMP[],F$1,0),"ERROR")</f>
        <v>104</v>
      </c>
      <c r="G32" s="113">
        <f t="shared" si="0"/>
        <v>0.16149068322981366</v>
      </c>
      <c r="H32" s="111">
        <f>IFERROR(VLOOKUP($B32,MMWR_TRAD_AGG_STATE_COMP[],H$1,0),"ERROR")</f>
        <v>333</v>
      </c>
      <c r="I32" s="112">
        <f>IFERROR(VLOOKUP($B32,MMWR_TRAD_AGG_STATE_COMP[],I$1,0),"ERROR")</f>
        <v>147</v>
      </c>
      <c r="J32" s="114">
        <f t="shared" si="1"/>
        <v>0.44144144144144143</v>
      </c>
      <c r="K32" s="111">
        <f>IFERROR(VLOOKUP($B32,MMWR_TRAD_AGG_STATE_COMP[],K$1,0),"ERROR")</f>
        <v>120</v>
      </c>
      <c r="L32" s="112">
        <f>IFERROR(VLOOKUP($B32,MMWR_TRAD_AGG_STATE_COMP[],L$1,0),"ERROR")</f>
        <v>57</v>
      </c>
      <c r="M32" s="114">
        <f t="shared" si="2"/>
        <v>0.47499999999999998</v>
      </c>
      <c r="N32" s="111">
        <f>IFERROR(VLOOKUP($B32,MMWR_TRAD_AGG_STATE_COMP[],N$1,0),"ERROR")</f>
        <v>143</v>
      </c>
      <c r="O32" s="112">
        <f>IFERROR(VLOOKUP($B32,MMWR_TRAD_AGG_STATE_COMP[],O$1,0),"ERROR")</f>
        <v>72</v>
      </c>
      <c r="P32" s="114">
        <f t="shared" si="3"/>
        <v>0.50349650349650354</v>
      </c>
      <c r="Q32" s="115">
        <f>IFERROR(VLOOKUP($B32,MMWR_TRAD_AGG_STATE_COMP[],Q$1,0),"ERROR")</f>
        <v>0</v>
      </c>
      <c r="R32" s="115">
        <f>IFERROR(VLOOKUP($B32,MMWR_TRAD_AGG_STATE_COMP[],R$1,0),"ERROR")</f>
        <v>0</v>
      </c>
      <c r="S32" s="115">
        <f>IFERROR(VLOOKUP($B32,MMWR_APP_STATE_COMP[],S$1,0),"ERROR")</f>
        <v>447</v>
      </c>
      <c r="T32" s="28"/>
    </row>
    <row r="33" spans="1:20" s="123" customFormat="1" x14ac:dyDescent="0.2">
      <c r="A33" s="107"/>
      <c r="B33" s="127" t="s">
        <v>391</v>
      </c>
      <c r="C33" s="109">
        <f>IFERROR(VLOOKUP($B33,MMWR_TRAD_AGG_STATE_COMP[],C$1,0),"ERROR")</f>
        <v>7512</v>
      </c>
      <c r="D33" s="110">
        <f>IFERROR(VLOOKUP($B33,MMWR_TRAD_AGG_STATE_COMP[],D$1,0),"ERROR")</f>
        <v>427.62127263050002</v>
      </c>
      <c r="E33" s="111">
        <f>IFERROR(VLOOKUP($B33,MMWR_TRAD_AGG_STATE_COMP[],E$1,0),"ERROR")</f>
        <v>8969</v>
      </c>
      <c r="F33" s="112">
        <f>IFERROR(VLOOKUP($B33,MMWR_TRAD_AGG_STATE_COMP[],F$1,0),"ERROR")</f>
        <v>2181</v>
      </c>
      <c r="G33" s="113">
        <f t="shared" si="0"/>
        <v>0.24317092206489019</v>
      </c>
      <c r="H33" s="111">
        <f>IFERROR(VLOOKUP($B33,MMWR_TRAD_AGG_STATE_COMP[],H$1,0),"ERROR")</f>
        <v>12369</v>
      </c>
      <c r="I33" s="112">
        <f>IFERROR(VLOOKUP($B33,MMWR_TRAD_AGG_STATE_COMP[],I$1,0),"ERROR")</f>
        <v>7170</v>
      </c>
      <c r="J33" s="114">
        <f t="shared" si="1"/>
        <v>0.57967499393645405</v>
      </c>
      <c r="K33" s="111">
        <f>IFERROR(VLOOKUP($B33,MMWR_TRAD_AGG_STATE_COMP[],K$1,0),"ERROR")</f>
        <v>2044</v>
      </c>
      <c r="L33" s="112">
        <f>IFERROR(VLOOKUP($B33,MMWR_TRAD_AGG_STATE_COMP[],L$1,0),"ERROR")</f>
        <v>1233</v>
      </c>
      <c r="M33" s="114">
        <f t="shared" si="2"/>
        <v>0.60322896281800387</v>
      </c>
      <c r="N33" s="111">
        <f>IFERROR(VLOOKUP($B33,MMWR_TRAD_AGG_STATE_COMP[],N$1,0),"ERROR")</f>
        <v>4105</v>
      </c>
      <c r="O33" s="112">
        <f>IFERROR(VLOOKUP($B33,MMWR_TRAD_AGG_STATE_COMP[],O$1,0),"ERROR")</f>
        <v>2012</v>
      </c>
      <c r="P33" s="114">
        <f t="shared" si="3"/>
        <v>0.49013398294762484</v>
      </c>
      <c r="Q33" s="115">
        <f>IFERROR(VLOOKUP($B33,MMWR_TRAD_AGG_STATE_COMP[],Q$1,0),"ERROR")</f>
        <v>704</v>
      </c>
      <c r="R33" s="115">
        <f>IFERROR(VLOOKUP($B33,MMWR_TRAD_AGG_STATE_COMP[],R$1,0),"ERROR")</f>
        <v>330</v>
      </c>
      <c r="S33" s="115">
        <f>IFERROR(VLOOKUP($B33,MMWR_APP_STATE_COMP[],S$1,0),"ERROR")</f>
        <v>13786</v>
      </c>
      <c r="T33" s="28"/>
    </row>
    <row r="34" spans="1:20" s="123" customFormat="1" x14ac:dyDescent="0.2">
      <c r="A34" s="107"/>
      <c r="B34" s="127" t="s">
        <v>420</v>
      </c>
      <c r="C34" s="109">
        <f>IFERROR(VLOOKUP($B34,MMWR_TRAD_AGG_STATE_COMP[],C$1,0),"ERROR")</f>
        <v>400</v>
      </c>
      <c r="D34" s="110">
        <f>IFERROR(VLOOKUP($B34,MMWR_TRAD_AGG_STATE_COMP[],D$1,0),"ERROR")</f>
        <v>240.36250000000001</v>
      </c>
      <c r="E34" s="111">
        <f>IFERROR(VLOOKUP($B34,MMWR_TRAD_AGG_STATE_COMP[],E$1,0),"ERROR")</f>
        <v>797</v>
      </c>
      <c r="F34" s="112">
        <f>IFERROR(VLOOKUP($B34,MMWR_TRAD_AGG_STATE_COMP[],F$1,0),"ERROR")</f>
        <v>158</v>
      </c>
      <c r="G34" s="113">
        <f t="shared" si="0"/>
        <v>0.19824341279799249</v>
      </c>
      <c r="H34" s="111">
        <f>IFERROR(VLOOKUP($B34,MMWR_TRAD_AGG_STATE_COMP[],H$1,0),"ERROR")</f>
        <v>866</v>
      </c>
      <c r="I34" s="112">
        <f>IFERROR(VLOOKUP($B34,MMWR_TRAD_AGG_STATE_COMP[],I$1,0),"ERROR")</f>
        <v>302</v>
      </c>
      <c r="J34" s="114">
        <f t="shared" si="1"/>
        <v>0.34872979214780603</v>
      </c>
      <c r="K34" s="111">
        <f>IFERROR(VLOOKUP($B34,MMWR_TRAD_AGG_STATE_COMP[],K$1,0),"ERROR")</f>
        <v>357</v>
      </c>
      <c r="L34" s="112">
        <f>IFERROR(VLOOKUP($B34,MMWR_TRAD_AGG_STATE_COMP[],L$1,0),"ERROR")</f>
        <v>169</v>
      </c>
      <c r="M34" s="114">
        <f t="shared" si="2"/>
        <v>0.4733893557422969</v>
      </c>
      <c r="N34" s="111">
        <f>IFERROR(VLOOKUP($B34,MMWR_TRAD_AGG_STATE_COMP[],N$1,0),"ERROR")</f>
        <v>139</v>
      </c>
      <c r="O34" s="112">
        <f>IFERROR(VLOOKUP($B34,MMWR_TRAD_AGG_STATE_COMP[],O$1,0),"ERROR")</f>
        <v>73</v>
      </c>
      <c r="P34" s="114">
        <f t="shared" si="3"/>
        <v>0.52517985611510787</v>
      </c>
      <c r="Q34" s="115">
        <f>IFERROR(VLOOKUP($B34,MMWR_TRAD_AGG_STATE_COMP[],Q$1,0),"ERROR")</f>
        <v>1</v>
      </c>
      <c r="R34" s="115">
        <f>IFERROR(VLOOKUP($B34,MMWR_TRAD_AGG_STATE_COMP[],R$1,0),"ERROR")</f>
        <v>1</v>
      </c>
      <c r="S34" s="115">
        <f>IFERROR(VLOOKUP($B34,MMWR_APP_STATE_COMP[],S$1,0),"ERROR")</f>
        <v>195</v>
      </c>
      <c r="T34" s="28"/>
    </row>
    <row r="35" spans="1:20" s="123" customFormat="1" x14ac:dyDescent="0.2">
      <c r="A35" s="107"/>
      <c r="B35" s="127" t="s">
        <v>396</v>
      </c>
      <c r="C35" s="109">
        <f>IFERROR(VLOOKUP($B35,MMWR_TRAD_AGG_STATE_COMP[],C$1,0),"ERROR")</f>
        <v>4059</v>
      </c>
      <c r="D35" s="110">
        <f>IFERROR(VLOOKUP($B35,MMWR_TRAD_AGG_STATE_COMP[],D$1,0),"ERROR")</f>
        <v>285.84503572310001</v>
      </c>
      <c r="E35" s="111">
        <f>IFERROR(VLOOKUP($B35,MMWR_TRAD_AGG_STATE_COMP[],E$1,0),"ERROR")</f>
        <v>3963</v>
      </c>
      <c r="F35" s="112">
        <f>IFERROR(VLOOKUP($B35,MMWR_TRAD_AGG_STATE_COMP[],F$1,0),"ERROR")</f>
        <v>735</v>
      </c>
      <c r="G35" s="113">
        <f t="shared" si="0"/>
        <v>0.1854655563966692</v>
      </c>
      <c r="H35" s="111">
        <f>IFERROR(VLOOKUP($B35,MMWR_TRAD_AGG_STATE_COMP[],H$1,0),"ERROR")</f>
        <v>6250</v>
      </c>
      <c r="I35" s="112">
        <f>IFERROR(VLOOKUP($B35,MMWR_TRAD_AGG_STATE_COMP[],I$1,0),"ERROR")</f>
        <v>3284</v>
      </c>
      <c r="J35" s="114">
        <f t="shared" si="1"/>
        <v>0.52544000000000002</v>
      </c>
      <c r="K35" s="111">
        <f>IFERROR(VLOOKUP($B35,MMWR_TRAD_AGG_STATE_COMP[],K$1,0),"ERROR")</f>
        <v>716</v>
      </c>
      <c r="L35" s="112">
        <f>IFERROR(VLOOKUP($B35,MMWR_TRAD_AGG_STATE_COMP[],L$1,0),"ERROR")</f>
        <v>455</v>
      </c>
      <c r="M35" s="114">
        <f t="shared" si="2"/>
        <v>0.63547486033519551</v>
      </c>
      <c r="N35" s="111">
        <f>IFERROR(VLOOKUP($B35,MMWR_TRAD_AGG_STATE_COMP[],N$1,0),"ERROR")</f>
        <v>905</v>
      </c>
      <c r="O35" s="112">
        <f>IFERROR(VLOOKUP($B35,MMWR_TRAD_AGG_STATE_COMP[],O$1,0),"ERROR")</f>
        <v>464</v>
      </c>
      <c r="P35" s="114">
        <f t="shared" si="3"/>
        <v>0.51270718232044199</v>
      </c>
      <c r="Q35" s="115">
        <f>IFERROR(VLOOKUP($B35,MMWR_TRAD_AGG_STATE_COMP[],Q$1,0),"ERROR")</f>
        <v>385</v>
      </c>
      <c r="R35" s="115">
        <f>IFERROR(VLOOKUP($B35,MMWR_TRAD_AGG_STATE_COMP[],R$1,0),"ERROR")</f>
        <v>6</v>
      </c>
      <c r="S35" s="115">
        <f>IFERROR(VLOOKUP($B35,MMWR_APP_STATE_COMP[],S$1,0),"ERROR")</f>
        <v>3449</v>
      </c>
      <c r="T35" s="28"/>
    </row>
    <row r="36" spans="1:20" s="123" customFormat="1" x14ac:dyDescent="0.2">
      <c r="A36" s="28"/>
      <c r="B36" s="126" t="s">
        <v>385</v>
      </c>
      <c r="C36" s="102">
        <f>IF(SUM(C37:C45)&lt;&gt;VLOOKUP($B36,MMWR_TRAD_AGG_ST_DISTRICT_COMP[],C$1,0),"ERROR",
VLOOKUP($B36,MMWR_TRAD_AGG_ST_DISTRICT_COMP[],C$1,0))</f>
        <v>60533</v>
      </c>
      <c r="D36" s="103">
        <f>IFERROR(VLOOKUP($B36,MMWR_TRAD_AGG_ST_DISTRICT_COMP[],D$1,0),"ERROR")</f>
        <v>363.78335783789998</v>
      </c>
      <c r="E36" s="102">
        <f>IFERROR(VLOOKUP($B36,MMWR_TRAD_AGG_ST_DISTRICT_COMP[],E$1,0),"ERROR")</f>
        <v>67020</v>
      </c>
      <c r="F36" s="102">
        <f>IFERROR(VLOOKUP($B36,MMWR_TRAD_AGG_ST_DISTRICT_COMP[],F$1,0),"ERROR")</f>
        <v>14011</v>
      </c>
      <c r="G36" s="104">
        <f t="shared" si="0"/>
        <v>0.20905699791107132</v>
      </c>
      <c r="H36" s="102">
        <f>IFERROR(VLOOKUP($B36,MMWR_TRAD_AGG_ST_DISTRICT_COMP[],H$1,0),"ERROR")</f>
        <v>85659</v>
      </c>
      <c r="I36" s="102">
        <f>IFERROR(VLOOKUP($B36,MMWR_TRAD_AGG_ST_DISTRICT_COMP[],I$1,0),"ERROR")</f>
        <v>54442</v>
      </c>
      <c r="J36" s="105">
        <f t="shared" si="1"/>
        <v>0.6355666071282644</v>
      </c>
      <c r="K36" s="102">
        <f>IFERROR(VLOOKUP($B36,MMWR_TRAD_AGG_ST_DISTRICT_COMP[],K$1,0),"ERROR")</f>
        <v>22649</v>
      </c>
      <c r="L36" s="102">
        <f>IFERROR(VLOOKUP($B36,MMWR_TRAD_AGG_ST_DISTRICT_COMP[],L$1,0),"ERROR")</f>
        <v>13294</v>
      </c>
      <c r="M36" s="105">
        <f t="shared" si="2"/>
        <v>0.58695748156651506</v>
      </c>
      <c r="N36" s="102">
        <f>IFERROR(VLOOKUP($B36,MMWR_TRAD_AGG_ST_DISTRICT_COMP[],N$1,0),"ERROR")</f>
        <v>22836</v>
      </c>
      <c r="O36" s="102">
        <f>IFERROR(VLOOKUP($B36,MMWR_TRAD_AGG_ST_DISTRICT_COMP[],O$1,0),"ERROR")</f>
        <v>12793</v>
      </c>
      <c r="P36" s="105">
        <f t="shared" si="3"/>
        <v>0.56021194605009639</v>
      </c>
      <c r="Q36" s="102">
        <f>IFERROR(VLOOKUP($B36,MMWR_TRAD_AGG_ST_DISTRICT_COMP[],Q$1,0),"ERROR")</f>
        <v>863</v>
      </c>
      <c r="R36" s="106">
        <f>IFERROR(VLOOKUP($B36,MMWR_TRAD_AGG_ST_DISTRICT_COMP[],R$1,0),"ERROR")</f>
        <v>1066</v>
      </c>
      <c r="S36" s="106">
        <f>SUM(S37:S45)</f>
        <v>68838</v>
      </c>
      <c r="T36" s="28"/>
    </row>
    <row r="37" spans="1:20" s="123" customFormat="1" x14ac:dyDescent="0.2">
      <c r="A37" s="28"/>
      <c r="B37" s="127" t="s">
        <v>411</v>
      </c>
      <c r="C37" s="109">
        <f>IFERROR(VLOOKUP($B37,MMWR_TRAD_AGG_STATE_COMP[],C$1,0),"ERROR")</f>
        <v>5377</v>
      </c>
      <c r="D37" s="110">
        <f>IFERROR(VLOOKUP($B37,MMWR_TRAD_AGG_STATE_COMP[],D$1,0),"ERROR")</f>
        <v>367.51366933230003</v>
      </c>
      <c r="E37" s="111">
        <f>IFERROR(VLOOKUP($B37,MMWR_TRAD_AGG_STATE_COMP[],E$1,0),"ERROR")</f>
        <v>3699</v>
      </c>
      <c r="F37" s="112">
        <f>IFERROR(VLOOKUP($B37,MMWR_TRAD_AGG_STATE_COMP[],F$1,0),"ERROR")</f>
        <v>600</v>
      </c>
      <c r="G37" s="113">
        <f t="shared" si="0"/>
        <v>0.16220600162206</v>
      </c>
      <c r="H37" s="111">
        <f>IFERROR(VLOOKUP($B37,MMWR_TRAD_AGG_STATE_COMP[],H$1,0),"ERROR")</f>
        <v>7040</v>
      </c>
      <c r="I37" s="112">
        <f>IFERROR(VLOOKUP($B37,MMWR_TRAD_AGG_STATE_COMP[],I$1,0),"ERROR")</f>
        <v>4768</v>
      </c>
      <c r="J37" s="114">
        <f t="shared" si="1"/>
        <v>0.67727272727272725</v>
      </c>
      <c r="K37" s="111">
        <f>IFERROR(VLOOKUP($B37,MMWR_TRAD_AGG_STATE_COMP[],K$1,0),"ERROR")</f>
        <v>2078</v>
      </c>
      <c r="L37" s="112">
        <f>IFERROR(VLOOKUP($B37,MMWR_TRAD_AGG_STATE_COMP[],L$1,0),"ERROR")</f>
        <v>1600</v>
      </c>
      <c r="M37" s="114">
        <f t="shared" si="2"/>
        <v>0.76997112608277185</v>
      </c>
      <c r="N37" s="111">
        <f>IFERROR(VLOOKUP($B37,MMWR_TRAD_AGG_STATE_COMP[],N$1,0),"ERROR")</f>
        <v>1975</v>
      </c>
      <c r="O37" s="112">
        <f>IFERROR(VLOOKUP($B37,MMWR_TRAD_AGG_STATE_COMP[],O$1,0),"ERROR")</f>
        <v>946</v>
      </c>
      <c r="P37" s="114">
        <f t="shared" si="3"/>
        <v>0.47898734177215191</v>
      </c>
      <c r="Q37" s="115">
        <f>IFERROR(VLOOKUP($B37,MMWR_TRAD_AGG_STATE_COMP[],Q$1,0),"ERROR")</f>
        <v>297</v>
      </c>
      <c r="R37" s="115">
        <f>IFERROR(VLOOKUP($B37,MMWR_TRAD_AGG_STATE_COMP[],R$1,0),"ERROR")</f>
        <v>135</v>
      </c>
      <c r="S37" s="115">
        <f>IFERROR(VLOOKUP($B37,MMWR_APP_STATE_COMP[],S$1,0),"ERROR")</f>
        <v>5300</v>
      </c>
      <c r="T37" s="28"/>
    </row>
    <row r="38" spans="1:20" s="123" customFormat="1" x14ac:dyDescent="0.2">
      <c r="A38" s="28"/>
      <c r="B38" s="127" t="s">
        <v>403</v>
      </c>
      <c r="C38" s="109">
        <f>IFERROR(VLOOKUP($B38,MMWR_TRAD_AGG_STATE_COMP[],C$1,0),"ERROR")</f>
        <v>6866</v>
      </c>
      <c r="D38" s="110">
        <f>IFERROR(VLOOKUP($B38,MMWR_TRAD_AGG_STATE_COMP[],D$1,0),"ERROR")</f>
        <v>375.3073113895</v>
      </c>
      <c r="E38" s="111">
        <f>IFERROR(VLOOKUP($B38,MMWR_TRAD_AGG_STATE_COMP[],E$1,0),"ERROR")</f>
        <v>7209</v>
      </c>
      <c r="F38" s="112">
        <f>IFERROR(VLOOKUP($B38,MMWR_TRAD_AGG_STATE_COMP[],F$1,0),"ERROR")</f>
        <v>1694</v>
      </c>
      <c r="G38" s="113">
        <f t="shared" ref="G38:G64" si="4">IFERROR(F38/E38,"0%")</f>
        <v>0.23498404771813011</v>
      </c>
      <c r="H38" s="111">
        <f>IFERROR(VLOOKUP($B38,MMWR_TRAD_AGG_STATE_COMP[],H$1,0),"ERROR")</f>
        <v>10279</v>
      </c>
      <c r="I38" s="112">
        <f>IFERROR(VLOOKUP($B38,MMWR_TRAD_AGG_STATE_COMP[],I$1,0),"ERROR")</f>
        <v>6544</v>
      </c>
      <c r="J38" s="114">
        <f t="shared" ref="J38:J64" si="5">IFERROR(I38/H38,"0%")</f>
        <v>0.63663780523397218</v>
      </c>
      <c r="K38" s="111">
        <f>IFERROR(VLOOKUP($B38,MMWR_TRAD_AGG_STATE_COMP[],K$1,0),"ERROR")</f>
        <v>3496</v>
      </c>
      <c r="L38" s="112">
        <f>IFERROR(VLOOKUP($B38,MMWR_TRAD_AGG_STATE_COMP[],L$1,0),"ERROR")</f>
        <v>2369</v>
      </c>
      <c r="M38" s="114">
        <f t="shared" ref="M38:M64" si="6">IFERROR(L38/K38,"0%")</f>
        <v>0.67763157894736847</v>
      </c>
      <c r="N38" s="111">
        <f>IFERROR(VLOOKUP($B38,MMWR_TRAD_AGG_STATE_COMP[],N$1,0),"ERROR")</f>
        <v>1668</v>
      </c>
      <c r="O38" s="112">
        <f>IFERROR(VLOOKUP($B38,MMWR_TRAD_AGG_STATE_COMP[],O$1,0),"ERROR")</f>
        <v>847</v>
      </c>
      <c r="P38" s="114">
        <f t="shared" ref="P38:P64" si="7">IFERROR(O38/N38,"0%")</f>
        <v>0.50779376498800954</v>
      </c>
      <c r="Q38" s="115">
        <f>IFERROR(VLOOKUP($B38,MMWR_TRAD_AGG_STATE_COMP[],Q$1,0),"ERROR")</f>
        <v>10</v>
      </c>
      <c r="R38" s="115">
        <f>IFERROR(VLOOKUP($B38,MMWR_TRAD_AGG_STATE_COMP[],R$1,0),"ERROR")</f>
        <v>61</v>
      </c>
      <c r="S38" s="115">
        <f>IFERROR(VLOOKUP($B38,MMWR_APP_STATE_COMP[],S$1,0),"ERROR")</f>
        <v>6341</v>
      </c>
      <c r="T38" s="28"/>
    </row>
    <row r="39" spans="1:20" s="123" customFormat="1" x14ac:dyDescent="0.2">
      <c r="A39" s="28"/>
      <c r="B39" s="127" t="s">
        <v>387</v>
      </c>
      <c r="C39" s="109">
        <f>IFERROR(VLOOKUP($B39,MMWR_TRAD_AGG_STATE_COMP[],C$1,0),"ERROR")</f>
        <v>5748</v>
      </c>
      <c r="D39" s="110">
        <f>IFERROR(VLOOKUP($B39,MMWR_TRAD_AGG_STATE_COMP[],D$1,0),"ERROR")</f>
        <v>439.22686151699997</v>
      </c>
      <c r="E39" s="111">
        <f>IFERROR(VLOOKUP($B39,MMWR_TRAD_AGG_STATE_COMP[],E$1,0),"ERROR")</f>
        <v>5838</v>
      </c>
      <c r="F39" s="112">
        <f>IFERROR(VLOOKUP($B39,MMWR_TRAD_AGG_STATE_COMP[],F$1,0),"ERROR")</f>
        <v>1117</v>
      </c>
      <c r="G39" s="113">
        <f t="shared" si="4"/>
        <v>0.19133264816718054</v>
      </c>
      <c r="H39" s="111">
        <f>IFERROR(VLOOKUP($B39,MMWR_TRAD_AGG_STATE_COMP[],H$1,0),"ERROR")</f>
        <v>8426</v>
      </c>
      <c r="I39" s="112">
        <f>IFERROR(VLOOKUP($B39,MMWR_TRAD_AGG_STATE_COMP[],I$1,0),"ERROR")</f>
        <v>5518</v>
      </c>
      <c r="J39" s="114">
        <f t="shared" si="5"/>
        <v>0.65487775931640158</v>
      </c>
      <c r="K39" s="111">
        <f>IFERROR(VLOOKUP($B39,MMWR_TRAD_AGG_STATE_COMP[],K$1,0),"ERROR")</f>
        <v>1975</v>
      </c>
      <c r="L39" s="112">
        <f>IFERROR(VLOOKUP($B39,MMWR_TRAD_AGG_STATE_COMP[],L$1,0),"ERROR")</f>
        <v>1323</v>
      </c>
      <c r="M39" s="114">
        <f t="shared" si="6"/>
        <v>0.66987341772151898</v>
      </c>
      <c r="N39" s="111">
        <f>IFERROR(VLOOKUP($B39,MMWR_TRAD_AGG_STATE_COMP[],N$1,0),"ERROR")</f>
        <v>2083</v>
      </c>
      <c r="O39" s="112">
        <f>IFERROR(VLOOKUP($B39,MMWR_TRAD_AGG_STATE_COMP[],O$1,0),"ERROR")</f>
        <v>1138</v>
      </c>
      <c r="P39" s="114">
        <f t="shared" si="7"/>
        <v>0.5463274123859817</v>
      </c>
      <c r="Q39" s="115">
        <f>IFERROR(VLOOKUP($B39,MMWR_TRAD_AGG_STATE_COMP[],Q$1,0),"ERROR")</f>
        <v>233</v>
      </c>
      <c r="R39" s="115">
        <f>IFERROR(VLOOKUP($B39,MMWR_TRAD_AGG_STATE_COMP[],R$1,0),"ERROR")</f>
        <v>245</v>
      </c>
      <c r="S39" s="115">
        <f>IFERROR(VLOOKUP($B39,MMWR_APP_STATE_COMP[],S$1,0),"ERROR")</f>
        <v>5858</v>
      </c>
      <c r="T39" s="28"/>
    </row>
    <row r="40" spans="1:20" s="123" customFormat="1" x14ac:dyDescent="0.2">
      <c r="A40" s="28"/>
      <c r="B40" s="127" t="s">
        <v>389</v>
      </c>
      <c r="C40" s="109">
        <f>IFERROR(VLOOKUP($B40,MMWR_TRAD_AGG_STATE_COMP[],C$1,0),"ERROR")</f>
        <v>5072</v>
      </c>
      <c r="D40" s="110">
        <f>IFERROR(VLOOKUP($B40,MMWR_TRAD_AGG_STATE_COMP[],D$1,0),"ERROR")</f>
        <v>398.46628548899997</v>
      </c>
      <c r="E40" s="111">
        <f>IFERROR(VLOOKUP($B40,MMWR_TRAD_AGG_STATE_COMP[],E$1,0),"ERROR")</f>
        <v>4474</v>
      </c>
      <c r="F40" s="112">
        <f>IFERROR(VLOOKUP($B40,MMWR_TRAD_AGG_STATE_COMP[],F$1,0),"ERROR")</f>
        <v>1189</v>
      </c>
      <c r="G40" s="113">
        <f t="shared" si="4"/>
        <v>0.26575771122038444</v>
      </c>
      <c r="H40" s="111">
        <f>IFERROR(VLOOKUP($B40,MMWR_TRAD_AGG_STATE_COMP[],H$1,0),"ERROR")</f>
        <v>7484</v>
      </c>
      <c r="I40" s="112">
        <f>IFERROR(VLOOKUP($B40,MMWR_TRAD_AGG_STATE_COMP[],I$1,0),"ERROR")</f>
        <v>5137</v>
      </c>
      <c r="J40" s="114">
        <f t="shared" si="5"/>
        <v>0.68639764831640837</v>
      </c>
      <c r="K40" s="111">
        <f>IFERROR(VLOOKUP($B40,MMWR_TRAD_AGG_STATE_COMP[],K$1,0),"ERROR")</f>
        <v>1520</v>
      </c>
      <c r="L40" s="112">
        <f>IFERROR(VLOOKUP($B40,MMWR_TRAD_AGG_STATE_COMP[],L$1,0),"ERROR")</f>
        <v>1076</v>
      </c>
      <c r="M40" s="114">
        <f t="shared" si="6"/>
        <v>0.70789473684210524</v>
      </c>
      <c r="N40" s="111">
        <f>IFERROR(VLOOKUP($B40,MMWR_TRAD_AGG_STATE_COMP[],N$1,0),"ERROR")</f>
        <v>2668</v>
      </c>
      <c r="O40" s="112">
        <f>IFERROR(VLOOKUP($B40,MMWR_TRAD_AGG_STATE_COMP[],O$1,0),"ERROR")</f>
        <v>1951</v>
      </c>
      <c r="P40" s="114">
        <f t="shared" si="7"/>
        <v>0.73125937031484256</v>
      </c>
      <c r="Q40" s="115">
        <f>IFERROR(VLOOKUP($B40,MMWR_TRAD_AGG_STATE_COMP[],Q$1,0),"ERROR")</f>
        <v>282</v>
      </c>
      <c r="R40" s="115">
        <f>IFERROR(VLOOKUP($B40,MMWR_TRAD_AGG_STATE_COMP[],R$1,0),"ERROR")</f>
        <v>152</v>
      </c>
      <c r="S40" s="115">
        <f>IFERROR(VLOOKUP($B40,MMWR_APP_STATE_COMP[],S$1,0),"ERROR")</f>
        <v>4814</v>
      </c>
      <c r="T40" s="28"/>
    </row>
    <row r="41" spans="1:20" s="123" customFormat="1" x14ac:dyDescent="0.2">
      <c r="A41" s="28"/>
      <c r="B41" s="127" t="s">
        <v>418</v>
      </c>
      <c r="C41" s="109">
        <f>IFERROR(VLOOKUP($B41,MMWR_TRAD_AGG_STATE_COMP[],C$1,0),"ERROR")</f>
        <v>927</v>
      </c>
      <c r="D41" s="110">
        <f>IFERROR(VLOOKUP($B41,MMWR_TRAD_AGG_STATE_COMP[],D$1,0),"ERROR")</f>
        <v>249.38942826319999</v>
      </c>
      <c r="E41" s="111">
        <f>IFERROR(VLOOKUP($B41,MMWR_TRAD_AGG_STATE_COMP[],E$1,0),"ERROR")</f>
        <v>751</v>
      </c>
      <c r="F41" s="112">
        <f>IFERROR(VLOOKUP($B41,MMWR_TRAD_AGG_STATE_COMP[],F$1,0),"ERROR")</f>
        <v>78</v>
      </c>
      <c r="G41" s="113">
        <f t="shared" si="4"/>
        <v>0.10386151797603196</v>
      </c>
      <c r="H41" s="111">
        <f>IFERROR(VLOOKUP($B41,MMWR_TRAD_AGG_STATE_COMP[],H$1,0),"ERROR")</f>
        <v>1455</v>
      </c>
      <c r="I41" s="112">
        <f>IFERROR(VLOOKUP($B41,MMWR_TRAD_AGG_STATE_COMP[],I$1,0),"ERROR")</f>
        <v>710</v>
      </c>
      <c r="J41" s="114">
        <f t="shared" si="5"/>
        <v>0.48797250859106528</v>
      </c>
      <c r="K41" s="111">
        <f>IFERROR(VLOOKUP($B41,MMWR_TRAD_AGG_STATE_COMP[],K$1,0),"ERROR")</f>
        <v>540</v>
      </c>
      <c r="L41" s="112">
        <f>IFERROR(VLOOKUP($B41,MMWR_TRAD_AGG_STATE_COMP[],L$1,0),"ERROR")</f>
        <v>254</v>
      </c>
      <c r="M41" s="114">
        <f t="shared" si="6"/>
        <v>0.47037037037037038</v>
      </c>
      <c r="N41" s="111">
        <f>IFERROR(VLOOKUP($B41,MMWR_TRAD_AGG_STATE_COMP[],N$1,0),"ERROR")</f>
        <v>297</v>
      </c>
      <c r="O41" s="112">
        <f>IFERROR(VLOOKUP($B41,MMWR_TRAD_AGG_STATE_COMP[],O$1,0),"ERROR")</f>
        <v>131</v>
      </c>
      <c r="P41" s="114">
        <f t="shared" si="7"/>
        <v>0.44107744107744107</v>
      </c>
      <c r="Q41" s="115">
        <f>IFERROR(VLOOKUP($B41,MMWR_TRAD_AGG_STATE_COMP[],Q$1,0),"ERROR")</f>
        <v>4</v>
      </c>
      <c r="R41" s="115">
        <f>IFERROR(VLOOKUP($B41,MMWR_TRAD_AGG_STATE_COMP[],R$1,0),"ERROR")</f>
        <v>6</v>
      </c>
      <c r="S41" s="115">
        <f>IFERROR(VLOOKUP($B41,MMWR_APP_STATE_COMP[],S$1,0),"ERROR")</f>
        <v>400</v>
      </c>
      <c r="T41" s="28"/>
    </row>
    <row r="42" spans="1:20" s="123" customFormat="1" x14ac:dyDescent="0.2">
      <c r="A42" s="28"/>
      <c r="B42" s="127" t="s">
        <v>412</v>
      </c>
      <c r="C42" s="109">
        <f>IFERROR(VLOOKUP($B42,MMWR_TRAD_AGG_STATE_COMP[],C$1,0),"ERROR")</f>
        <v>3252</v>
      </c>
      <c r="D42" s="110">
        <f>IFERROR(VLOOKUP($B42,MMWR_TRAD_AGG_STATE_COMP[],D$1,0),"ERROR")</f>
        <v>321.97601476009999</v>
      </c>
      <c r="E42" s="111">
        <f>IFERROR(VLOOKUP($B42,MMWR_TRAD_AGG_STATE_COMP[],E$1,0),"ERROR")</f>
        <v>6296</v>
      </c>
      <c r="F42" s="112">
        <f>IFERROR(VLOOKUP($B42,MMWR_TRAD_AGG_STATE_COMP[],F$1,0),"ERROR")</f>
        <v>1015</v>
      </c>
      <c r="G42" s="113">
        <f t="shared" si="4"/>
        <v>0.16121346886912324</v>
      </c>
      <c r="H42" s="111">
        <f>IFERROR(VLOOKUP($B42,MMWR_TRAD_AGG_STATE_COMP[],H$1,0),"ERROR")</f>
        <v>5086</v>
      </c>
      <c r="I42" s="112">
        <f>IFERROR(VLOOKUP($B42,MMWR_TRAD_AGG_STATE_COMP[],I$1,0),"ERROR")</f>
        <v>2644</v>
      </c>
      <c r="J42" s="114">
        <f t="shared" si="5"/>
        <v>0.51985843491938655</v>
      </c>
      <c r="K42" s="111">
        <f>IFERROR(VLOOKUP($B42,MMWR_TRAD_AGG_STATE_COMP[],K$1,0),"ERROR")</f>
        <v>1661</v>
      </c>
      <c r="L42" s="112">
        <f>IFERROR(VLOOKUP($B42,MMWR_TRAD_AGG_STATE_COMP[],L$1,0),"ERROR")</f>
        <v>768</v>
      </c>
      <c r="M42" s="114">
        <f t="shared" si="6"/>
        <v>0.46237206502107164</v>
      </c>
      <c r="N42" s="111">
        <f>IFERROR(VLOOKUP($B42,MMWR_TRAD_AGG_STATE_COMP[],N$1,0),"ERROR")</f>
        <v>2210</v>
      </c>
      <c r="O42" s="112">
        <f>IFERROR(VLOOKUP($B42,MMWR_TRAD_AGG_STATE_COMP[],O$1,0),"ERROR")</f>
        <v>998</v>
      </c>
      <c r="P42" s="114">
        <f t="shared" si="7"/>
        <v>0.45158371040723982</v>
      </c>
      <c r="Q42" s="115">
        <f>IFERROR(VLOOKUP($B42,MMWR_TRAD_AGG_STATE_COMP[],Q$1,0),"ERROR")</f>
        <v>7</v>
      </c>
      <c r="R42" s="115">
        <f>IFERROR(VLOOKUP($B42,MMWR_TRAD_AGG_STATE_COMP[],R$1,0),"ERROR")</f>
        <v>60</v>
      </c>
      <c r="S42" s="115">
        <f>IFERROR(VLOOKUP($B42,MMWR_APP_STATE_COMP[],S$1,0),"ERROR")</f>
        <v>4693</v>
      </c>
      <c r="T42" s="28"/>
    </row>
    <row r="43" spans="1:20" s="123" customFormat="1" x14ac:dyDescent="0.2">
      <c r="A43" s="28"/>
      <c r="B43" s="127" t="s">
        <v>410</v>
      </c>
      <c r="C43" s="109">
        <f>IFERROR(VLOOKUP($B43,MMWR_TRAD_AGG_STATE_COMP[],C$1,0),"ERROR")</f>
        <v>30785</v>
      </c>
      <c r="D43" s="110">
        <f>IFERROR(VLOOKUP($B43,MMWR_TRAD_AGG_STATE_COMP[],D$1,0),"ERROR")</f>
        <v>353.54536300149999</v>
      </c>
      <c r="E43" s="111">
        <f>IFERROR(VLOOKUP($B43,MMWR_TRAD_AGG_STATE_COMP[],E$1,0),"ERROR")</f>
        <v>35504</v>
      </c>
      <c r="F43" s="112">
        <f>IFERROR(VLOOKUP($B43,MMWR_TRAD_AGG_STATE_COMP[],F$1,0),"ERROR")</f>
        <v>7606</v>
      </c>
      <c r="G43" s="113">
        <f t="shared" si="4"/>
        <v>0.21422938260477692</v>
      </c>
      <c r="H43" s="111">
        <f>IFERROR(VLOOKUP($B43,MMWR_TRAD_AGG_STATE_COMP[],H$1,0),"ERROR")</f>
        <v>42171</v>
      </c>
      <c r="I43" s="112">
        <f>IFERROR(VLOOKUP($B43,MMWR_TRAD_AGG_STATE_COMP[],I$1,0),"ERROR")</f>
        <v>26938</v>
      </c>
      <c r="J43" s="114">
        <f t="shared" si="5"/>
        <v>0.63878020440587135</v>
      </c>
      <c r="K43" s="111">
        <f>IFERROR(VLOOKUP($B43,MMWR_TRAD_AGG_STATE_COMP[],K$1,0),"ERROR")</f>
        <v>10321</v>
      </c>
      <c r="L43" s="112">
        <f>IFERROR(VLOOKUP($B43,MMWR_TRAD_AGG_STATE_COMP[],L$1,0),"ERROR")</f>
        <v>5334</v>
      </c>
      <c r="M43" s="114">
        <f t="shared" si="6"/>
        <v>0.51681038659044665</v>
      </c>
      <c r="N43" s="111">
        <f>IFERROR(VLOOKUP($B43,MMWR_TRAD_AGG_STATE_COMP[],N$1,0),"ERROR")</f>
        <v>11401</v>
      </c>
      <c r="O43" s="112">
        <f>IFERROR(VLOOKUP($B43,MMWR_TRAD_AGG_STATE_COMP[],O$1,0),"ERROR")</f>
        <v>6549</v>
      </c>
      <c r="P43" s="114">
        <f t="shared" si="7"/>
        <v>0.57442329620208754</v>
      </c>
      <c r="Q43" s="115">
        <f>IFERROR(VLOOKUP($B43,MMWR_TRAD_AGG_STATE_COMP[],Q$1,0),"ERROR")</f>
        <v>28</v>
      </c>
      <c r="R43" s="115">
        <f>IFERROR(VLOOKUP($B43,MMWR_TRAD_AGG_STATE_COMP[],R$1,0),"ERROR")</f>
        <v>402</v>
      </c>
      <c r="S43" s="115">
        <f>IFERROR(VLOOKUP($B43,MMWR_APP_STATE_COMP[],S$1,0),"ERROR")</f>
        <v>40521</v>
      </c>
      <c r="T43" s="28"/>
    </row>
    <row r="44" spans="1:20" s="123" customFormat="1" x14ac:dyDescent="0.2">
      <c r="A44" s="28"/>
      <c r="B44" s="127" t="s">
        <v>406</v>
      </c>
      <c r="C44" s="109">
        <f>IFERROR(VLOOKUP($B44,MMWR_TRAD_AGG_STATE_COMP[],C$1,0),"ERROR")</f>
        <v>1970</v>
      </c>
      <c r="D44" s="110">
        <f>IFERROR(VLOOKUP($B44,MMWR_TRAD_AGG_STATE_COMP[],D$1,0),"ERROR")</f>
        <v>304.43807106600002</v>
      </c>
      <c r="E44" s="111">
        <f>IFERROR(VLOOKUP($B44,MMWR_TRAD_AGG_STATE_COMP[],E$1,0),"ERROR")</f>
        <v>2353</v>
      </c>
      <c r="F44" s="112">
        <f>IFERROR(VLOOKUP($B44,MMWR_TRAD_AGG_STATE_COMP[],F$1,0),"ERROR")</f>
        <v>569</v>
      </c>
      <c r="G44" s="113">
        <f t="shared" si="4"/>
        <v>0.24181895452613686</v>
      </c>
      <c r="H44" s="111">
        <f>IFERROR(VLOOKUP($B44,MMWR_TRAD_AGG_STATE_COMP[],H$1,0),"ERROR")</f>
        <v>2799</v>
      </c>
      <c r="I44" s="112">
        <f>IFERROR(VLOOKUP($B44,MMWR_TRAD_AGG_STATE_COMP[],I$1,0),"ERROR")</f>
        <v>1709</v>
      </c>
      <c r="J44" s="114">
        <f t="shared" si="5"/>
        <v>0.61057520543051091</v>
      </c>
      <c r="K44" s="111">
        <f>IFERROR(VLOOKUP($B44,MMWR_TRAD_AGG_STATE_COMP[],K$1,0),"ERROR")</f>
        <v>867</v>
      </c>
      <c r="L44" s="112">
        <f>IFERROR(VLOOKUP($B44,MMWR_TRAD_AGG_STATE_COMP[],L$1,0),"ERROR")</f>
        <v>471</v>
      </c>
      <c r="M44" s="114">
        <f t="shared" si="6"/>
        <v>0.54325259515570934</v>
      </c>
      <c r="N44" s="111">
        <f>IFERROR(VLOOKUP($B44,MMWR_TRAD_AGG_STATE_COMP[],N$1,0),"ERROR")</f>
        <v>338</v>
      </c>
      <c r="O44" s="112">
        <f>IFERROR(VLOOKUP($B44,MMWR_TRAD_AGG_STATE_COMP[],O$1,0),"ERROR")</f>
        <v>152</v>
      </c>
      <c r="P44" s="114">
        <f t="shared" si="7"/>
        <v>0.44970414201183434</v>
      </c>
      <c r="Q44" s="115">
        <f>IFERROR(VLOOKUP($B44,MMWR_TRAD_AGG_STATE_COMP[],Q$1,0),"ERROR")</f>
        <v>0</v>
      </c>
      <c r="R44" s="115">
        <f>IFERROR(VLOOKUP($B44,MMWR_TRAD_AGG_STATE_COMP[],R$1,0),"ERROR")</f>
        <v>2</v>
      </c>
      <c r="S44" s="115">
        <f>IFERROR(VLOOKUP($B44,MMWR_APP_STATE_COMP[],S$1,0),"ERROR")</f>
        <v>567</v>
      </c>
      <c r="T44" s="28"/>
    </row>
    <row r="45" spans="1:20" s="123" customFormat="1" x14ac:dyDescent="0.2">
      <c r="A45" s="28"/>
      <c r="B45" s="127" t="s">
        <v>421</v>
      </c>
      <c r="C45" s="109">
        <f>IFERROR(VLOOKUP($B45,MMWR_TRAD_AGG_STATE_COMP[],C$1,0),"ERROR")</f>
        <v>536</v>
      </c>
      <c r="D45" s="110">
        <f>IFERROR(VLOOKUP($B45,MMWR_TRAD_AGG_STATE_COMP[],D$1,0),"ERROR")</f>
        <v>299.12873134329999</v>
      </c>
      <c r="E45" s="111">
        <f>IFERROR(VLOOKUP($B45,MMWR_TRAD_AGG_STATE_COMP[],E$1,0),"ERROR")</f>
        <v>896</v>
      </c>
      <c r="F45" s="112">
        <f>IFERROR(VLOOKUP($B45,MMWR_TRAD_AGG_STATE_COMP[],F$1,0),"ERROR")</f>
        <v>143</v>
      </c>
      <c r="G45" s="113">
        <f t="shared" si="4"/>
        <v>0.15959821428571427</v>
      </c>
      <c r="H45" s="111">
        <f>IFERROR(VLOOKUP($B45,MMWR_TRAD_AGG_STATE_COMP[],H$1,0),"ERROR")</f>
        <v>919</v>
      </c>
      <c r="I45" s="112">
        <f>IFERROR(VLOOKUP($B45,MMWR_TRAD_AGG_STATE_COMP[],I$1,0),"ERROR")</f>
        <v>474</v>
      </c>
      <c r="J45" s="114">
        <f t="shared" si="5"/>
        <v>0.51577801958650704</v>
      </c>
      <c r="K45" s="111">
        <f>IFERROR(VLOOKUP($B45,MMWR_TRAD_AGG_STATE_COMP[],K$1,0),"ERROR")</f>
        <v>191</v>
      </c>
      <c r="L45" s="112">
        <f>IFERROR(VLOOKUP($B45,MMWR_TRAD_AGG_STATE_COMP[],L$1,0),"ERROR")</f>
        <v>99</v>
      </c>
      <c r="M45" s="114">
        <f t="shared" si="6"/>
        <v>0.51832460732984298</v>
      </c>
      <c r="N45" s="111">
        <f>IFERROR(VLOOKUP($B45,MMWR_TRAD_AGG_STATE_COMP[],N$1,0),"ERROR")</f>
        <v>196</v>
      </c>
      <c r="O45" s="112">
        <f>IFERROR(VLOOKUP($B45,MMWR_TRAD_AGG_STATE_COMP[],O$1,0),"ERROR")</f>
        <v>81</v>
      </c>
      <c r="P45" s="114">
        <f t="shared" si="7"/>
        <v>0.41326530612244899</v>
      </c>
      <c r="Q45" s="115">
        <f>IFERROR(VLOOKUP($B45,MMWR_TRAD_AGG_STATE_COMP[],Q$1,0),"ERROR")</f>
        <v>2</v>
      </c>
      <c r="R45" s="115">
        <f>IFERROR(VLOOKUP($B45,MMWR_TRAD_AGG_STATE_COMP[],R$1,0),"ERROR")</f>
        <v>3</v>
      </c>
      <c r="S45" s="115">
        <f>IFERROR(VLOOKUP($B45,MMWR_APP_STATE_COMP[],S$1,0),"ERROR")</f>
        <v>344</v>
      </c>
      <c r="T45" s="28"/>
    </row>
    <row r="46" spans="1:20" s="123" customFormat="1" x14ac:dyDescent="0.2">
      <c r="A46" s="28"/>
      <c r="B46" s="126" t="s">
        <v>404</v>
      </c>
      <c r="C46" s="102">
        <f>IFERROR(VLOOKUP($B46,MMWR_TRAD_AGG_ST_DISTRICT_COMP[],C$1,0),"ERROR")</f>
        <v>65759</v>
      </c>
      <c r="D46" s="103">
        <f>IFERROR(VLOOKUP($B46,MMWR_TRAD_AGG_ST_DISTRICT_COMP[],D$1,0),"ERROR")</f>
        <v>375.1877765781</v>
      </c>
      <c r="E46" s="102">
        <f>IFERROR(VLOOKUP($B46,MMWR_TRAD_AGG_ST_DISTRICT_COMP[],E$1,0),"ERROR")</f>
        <v>59564</v>
      </c>
      <c r="F46" s="102">
        <f>IFERROR(VLOOKUP($B46,MMWR_TRAD_AGG_ST_DISTRICT_COMP[],F$1,0),"ERROR")</f>
        <v>11768</v>
      </c>
      <c r="G46" s="104">
        <f t="shared" si="4"/>
        <v>0.1975690014102478</v>
      </c>
      <c r="H46" s="102">
        <f>IFERROR(VLOOKUP($B46,MMWR_TRAD_AGG_ST_DISTRICT_COMP[],H$1,0),"ERROR")</f>
        <v>95845</v>
      </c>
      <c r="I46" s="102">
        <f>IFERROR(VLOOKUP($B46,MMWR_TRAD_AGG_ST_DISTRICT_COMP[],I$1,0),"ERROR")</f>
        <v>63825</v>
      </c>
      <c r="J46" s="105">
        <f t="shared" si="5"/>
        <v>0.66591893160832594</v>
      </c>
      <c r="K46" s="102">
        <f>IFERROR(VLOOKUP($B46,MMWR_TRAD_AGG_ST_DISTRICT_COMP[],K$1,0),"ERROR")</f>
        <v>25628</v>
      </c>
      <c r="L46" s="102">
        <f>IFERROR(VLOOKUP($B46,MMWR_TRAD_AGG_ST_DISTRICT_COMP[],L$1,0),"ERROR")</f>
        <v>16985</v>
      </c>
      <c r="M46" s="105">
        <f t="shared" si="6"/>
        <v>0.66275167785234901</v>
      </c>
      <c r="N46" s="102">
        <f>IFERROR(VLOOKUP($B46,MMWR_TRAD_AGG_ST_DISTRICT_COMP[],N$1,0),"ERROR")</f>
        <v>28265</v>
      </c>
      <c r="O46" s="102">
        <f>IFERROR(VLOOKUP($B46,MMWR_TRAD_AGG_ST_DISTRICT_COMP[],O$1,0),"ERROR")</f>
        <v>19097</v>
      </c>
      <c r="P46" s="105">
        <f t="shared" si="7"/>
        <v>0.67564125243233686</v>
      </c>
      <c r="Q46" s="102">
        <f>IFERROR(VLOOKUP($B46,MMWR_TRAD_AGG_ST_DISTRICT_COMP[],Q$1,0),"ERROR")</f>
        <v>90</v>
      </c>
      <c r="R46" s="106">
        <f>IFERROR(VLOOKUP($B46,MMWR_TRAD_AGG_ST_DISTRICT_COMP[],R$1,0),"ERROR")</f>
        <v>555</v>
      </c>
      <c r="S46" s="106">
        <f>SUM(S47:S55)</f>
        <v>44019</v>
      </c>
      <c r="T46" s="28"/>
    </row>
    <row r="47" spans="1:20" s="123" customFormat="1" x14ac:dyDescent="0.2">
      <c r="A47" s="28"/>
      <c r="B47" s="127" t="s">
        <v>424</v>
      </c>
      <c r="C47" s="109">
        <f>IFERROR(VLOOKUP($B47,MMWR_TRAD_AGG_STATE_COMP[],C$1,0),"ERROR")</f>
        <v>1939</v>
      </c>
      <c r="D47" s="110">
        <f>IFERROR(VLOOKUP($B47,MMWR_TRAD_AGG_STATE_COMP[],D$1,0),"ERROR")</f>
        <v>443.73749355339999</v>
      </c>
      <c r="E47" s="111">
        <f>IFERROR(VLOOKUP($B47,MMWR_TRAD_AGG_STATE_COMP[],E$1,0),"ERROR")</f>
        <v>1198</v>
      </c>
      <c r="F47" s="112">
        <f>IFERROR(VLOOKUP($B47,MMWR_TRAD_AGG_STATE_COMP[],F$1,0),"ERROR")</f>
        <v>319</v>
      </c>
      <c r="G47" s="113">
        <f t="shared" si="4"/>
        <v>0.26627712854757929</v>
      </c>
      <c r="H47" s="111">
        <f>IFERROR(VLOOKUP($B47,MMWR_TRAD_AGG_STATE_COMP[],H$1,0),"ERROR")</f>
        <v>2849</v>
      </c>
      <c r="I47" s="112">
        <f>IFERROR(VLOOKUP($B47,MMWR_TRAD_AGG_STATE_COMP[],I$1,0),"ERROR")</f>
        <v>1895</v>
      </c>
      <c r="J47" s="114">
        <f t="shared" si="5"/>
        <v>0.6651456651456652</v>
      </c>
      <c r="K47" s="111">
        <f>IFERROR(VLOOKUP($B47,MMWR_TRAD_AGG_STATE_COMP[],K$1,0),"ERROR")</f>
        <v>1953</v>
      </c>
      <c r="L47" s="112">
        <f>IFERROR(VLOOKUP($B47,MMWR_TRAD_AGG_STATE_COMP[],L$1,0),"ERROR")</f>
        <v>1600</v>
      </c>
      <c r="M47" s="114">
        <f t="shared" si="6"/>
        <v>0.81925243215565802</v>
      </c>
      <c r="N47" s="111">
        <f>IFERROR(VLOOKUP($B47,MMWR_TRAD_AGG_STATE_COMP[],N$1,0),"ERROR")</f>
        <v>566</v>
      </c>
      <c r="O47" s="112">
        <f>IFERROR(VLOOKUP($B47,MMWR_TRAD_AGG_STATE_COMP[],O$1,0),"ERROR")</f>
        <v>268</v>
      </c>
      <c r="P47" s="114">
        <f t="shared" si="7"/>
        <v>0.47349823321554768</v>
      </c>
      <c r="Q47" s="115">
        <f>IFERROR(VLOOKUP($B47,MMWR_TRAD_AGG_STATE_COMP[],Q$1,0),"ERROR")</f>
        <v>3</v>
      </c>
      <c r="R47" s="115">
        <f>IFERROR(VLOOKUP($B47,MMWR_TRAD_AGG_STATE_COMP[],R$1,0),"ERROR")</f>
        <v>2</v>
      </c>
      <c r="S47" s="115">
        <f>IFERROR(VLOOKUP($B47,MMWR_APP_STATE_COMP[],S$1,0),"ERROR")</f>
        <v>283</v>
      </c>
      <c r="T47" s="28"/>
    </row>
    <row r="48" spans="1:20" s="123" customFormat="1" x14ac:dyDescent="0.2">
      <c r="A48" s="28"/>
      <c r="B48" s="127" t="s">
        <v>426</v>
      </c>
      <c r="C48" s="109">
        <f>IFERROR(VLOOKUP($B48,MMWR_TRAD_AGG_STATE_COMP[],C$1,0),"ERROR")</f>
        <v>6512</v>
      </c>
      <c r="D48" s="110">
        <f>IFERROR(VLOOKUP($B48,MMWR_TRAD_AGG_STATE_COMP[],D$1,0),"ERROR")</f>
        <v>304.9823402948</v>
      </c>
      <c r="E48" s="111">
        <f>IFERROR(VLOOKUP($B48,MMWR_TRAD_AGG_STATE_COMP[],E$1,0),"ERROR")</f>
        <v>6202</v>
      </c>
      <c r="F48" s="112">
        <f>IFERROR(VLOOKUP($B48,MMWR_TRAD_AGG_STATE_COMP[],F$1,0),"ERROR")</f>
        <v>1234</v>
      </c>
      <c r="G48" s="113">
        <f t="shared" si="4"/>
        <v>0.19896807481457596</v>
      </c>
      <c r="H48" s="111">
        <f>IFERROR(VLOOKUP($B48,MMWR_TRAD_AGG_STATE_COMP[],H$1,0),"ERROR")</f>
        <v>9218</v>
      </c>
      <c r="I48" s="112">
        <f>IFERROR(VLOOKUP($B48,MMWR_TRAD_AGG_STATE_COMP[],I$1,0),"ERROR")</f>
        <v>5454</v>
      </c>
      <c r="J48" s="114">
        <f t="shared" si="5"/>
        <v>0.59166847472336737</v>
      </c>
      <c r="K48" s="111">
        <f>IFERROR(VLOOKUP($B48,MMWR_TRAD_AGG_STATE_COMP[],K$1,0),"ERROR")</f>
        <v>1594</v>
      </c>
      <c r="L48" s="112">
        <f>IFERROR(VLOOKUP($B48,MMWR_TRAD_AGG_STATE_COMP[],L$1,0),"ERROR")</f>
        <v>732</v>
      </c>
      <c r="M48" s="114">
        <f t="shared" si="6"/>
        <v>0.4592220828105395</v>
      </c>
      <c r="N48" s="111">
        <f>IFERROR(VLOOKUP($B48,MMWR_TRAD_AGG_STATE_COMP[],N$1,0),"ERROR")</f>
        <v>3406</v>
      </c>
      <c r="O48" s="112">
        <f>IFERROR(VLOOKUP($B48,MMWR_TRAD_AGG_STATE_COMP[],O$1,0),"ERROR")</f>
        <v>2591</v>
      </c>
      <c r="P48" s="114">
        <f t="shared" si="7"/>
        <v>0.7607163828537874</v>
      </c>
      <c r="Q48" s="115">
        <f>IFERROR(VLOOKUP($B48,MMWR_TRAD_AGG_STATE_COMP[],Q$1,0),"ERROR")</f>
        <v>2</v>
      </c>
      <c r="R48" s="115">
        <f>IFERROR(VLOOKUP($B48,MMWR_TRAD_AGG_STATE_COMP[],R$1,0),"ERROR")</f>
        <v>77</v>
      </c>
      <c r="S48" s="115">
        <f>IFERROR(VLOOKUP($B48,MMWR_APP_STATE_COMP[],S$1,0),"ERROR")</f>
        <v>7234</v>
      </c>
      <c r="T48" s="28"/>
    </row>
    <row r="49" spans="1:20" s="123" customFormat="1" x14ac:dyDescent="0.2">
      <c r="A49" s="28"/>
      <c r="B49" s="127" t="s">
        <v>407</v>
      </c>
      <c r="C49" s="109">
        <f>IFERROR(VLOOKUP($B49,MMWR_TRAD_AGG_STATE_COMP[],C$1,0),"ERROR")</f>
        <v>28416</v>
      </c>
      <c r="D49" s="110">
        <f>IFERROR(VLOOKUP($B49,MMWR_TRAD_AGG_STATE_COMP[],D$1,0),"ERROR")</f>
        <v>373.19897240990002</v>
      </c>
      <c r="E49" s="111">
        <f>IFERROR(VLOOKUP($B49,MMWR_TRAD_AGG_STATE_COMP[],E$1,0),"ERROR")</f>
        <v>31106</v>
      </c>
      <c r="F49" s="112">
        <f>IFERROR(VLOOKUP($B49,MMWR_TRAD_AGG_STATE_COMP[],F$1,0),"ERROR")</f>
        <v>5871</v>
      </c>
      <c r="G49" s="113">
        <f t="shared" si="4"/>
        <v>0.18874172185430463</v>
      </c>
      <c r="H49" s="111">
        <f>IFERROR(VLOOKUP($B49,MMWR_TRAD_AGG_STATE_COMP[],H$1,0),"ERROR")</f>
        <v>42288</v>
      </c>
      <c r="I49" s="112">
        <f>IFERROR(VLOOKUP($B49,MMWR_TRAD_AGG_STATE_COMP[],I$1,0),"ERROR")</f>
        <v>28146</v>
      </c>
      <c r="J49" s="114">
        <f t="shared" si="5"/>
        <v>0.66557888762769579</v>
      </c>
      <c r="K49" s="111">
        <f>IFERROR(VLOOKUP($B49,MMWR_TRAD_AGG_STATE_COMP[],K$1,0),"ERROR")</f>
        <v>10512</v>
      </c>
      <c r="L49" s="112">
        <f>IFERROR(VLOOKUP($B49,MMWR_TRAD_AGG_STATE_COMP[],L$1,0),"ERROR")</f>
        <v>6941</v>
      </c>
      <c r="M49" s="114">
        <f t="shared" si="6"/>
        <v>0.66029299847792999</v>
      </c>
      <c r="N49" s="111">
        <f>IFERROR(VLOOKUP($B49,MMWR_TRAD_AGG_STATE_COMP[],N$1,0),"ERROR")</f>
        <v>13225</v>
      </c>
      <c r="O49" s="112">
        <f>IFERROR(VLOOKUP($B49,MMWR_TRAD_AGG_STATE_COMP[],O$1,0),"ERROR")</f>
        <v>9055</v>
      </c>
      <c r="P49" s="114">
        <f t="shared" si="7"/>
        <v>0.68468809073724013</v>
      </c>
      <c r="Q49" s="115">
        <f>IFERROR(VLOOKUP($B49,MMWR_TRAD_AGG_STATE_COMP[],Q$1,0),"ERROR")</f>
        <v>52</v>
      </c>
      <c r="R49" s="115">
        <f>IFERROR(VLOOKUP($B49,MMWR_TRAD_AGG_STATE_COMP[],R$1,0),"ERROR")</f>
        <v>130</v>
      </c>
      <c r="S49" s="115">
        <f>IFERROR(VLOOKUP($B49,MMWR_APP_STATE_COMP[],S$1,0),"ERROR")</f>
        <v>18468</v>
      </c>
      <c r="T49" s="28"/>
    </row>
    <row r="50" spans="1:20" s="123" customFormat="1" x14ac:dyDescent="0.2">
      <c r="A50" s="28"/>
      <c r="B50" s="127" t="s">
        <v>428</v>
      </c>
      <c r="C50" s="109">
        <f>IFERROR(VLOOKUP($B50,MMWR_TRAD_AGG_STATE_COMP[],C$1,0),"ERROR")</f>
        <v>1686</v>
      </c>
      <c r="D50" s="110">
        <f>IFERROR(VLOOKUP($B50,MMWR_TRAD_AGG_STATE_COMP[],D$1,0),"ERROR")</f>
        <v>302.27461447209998</v>
      </c>
      <c r="E50" s="111">
        <f>IFERROR(VLOOKUP($B50,MMWR_TRAD_AGG_STATE_COMP[],E$1,0),"ERROR")</f>
        <v>1980</v>
      </c>
      <c r="F50" s="112">
        <f>IFERROR(VLOOKUP($B50,MMWR_TRAD_AGG_STATE_COMP[],F$1,0),"ERROR")</f>
        <v>306</v>
      </c>
      <c r="G50" s="113">
        <f t="shared" si="4"/>
        <v>0.15454545454545454</v>
      </c>
      <c r="H50" s="111">
        <f>IFERROR(VLOOKUP($B50,MMWR_TRAD_AGG_STATE_COMP[],H$1,0),"ERROR")</f>
        <v>2375</v>
      </c>
      <c r="I50" s="112">
        <f>IFERROR(VLOOKUP($B50,MMWR_TRAD_AGG_STATE_COMP[],I$1,0),"ERROR")</f>
        <v>1536</v>
      </c>
      <c r="J50" s="114">
        <f t="shared" si="5"/>
        <v>0.64673684210526317</v>
      </c>
      <c r="K50" s="111">
        <f>IFERROR(VLOOKUP($B50,MMWR_TRAD_AGG_STATE_COMP[],K$1,0),"ERROR")</f>
        <v>1077</v>
      </c>
      <c r="L50" s="112">
        <f>IFERROR(VLOOKUP($B50,MMWR_TRAD_AGG_STATE_COMP[],L$1,0),"ERROR")</f>
        <v>570</v>
      </c>
      <c r="M50" s="114">
        <f t="shared" si="6"/>
        <v>0.52924791086350975</v>
      </c>
      <c r="N50" s="111">
        <f>IFERROR(VLOOKUP($B50,MMWR_TRAD_AGG_STATE_COMP[],N$1,0),"ERROR")</f>
        <v>458</v>
      </c>
      <c r="O50" s="112">
        <f>IFERROR(VLOOKUP($B50,MMWR_TRAD_AGG_STATE_COMP[],O$1,0),"ERROR")</f>
        <v>245</v>
      </c>
      <c r="P50" s="114">
        <f t="shared" si="7"/>
        <v>0.53493449781659386</v>
      </c>
      <c r="Q50" s="115">
        <f>IFERROR(VLOOKUP($B50,MMWR_TRAD_AGG_STATE_COMP[],Q$1,0),"ERROR")</f>
        <v>3</v>
      </c>
      <c r="R50" s="115">
        <f>IFERROR(VLOOKUP($B50,MMWR_TRAD_AGG_STATE_COMP[],R$1,0),"ERROR")</f>
        <v>4</v>
      </c>
      <c r="S50" s="115">
        <f>IFERROR(VLOOKUP($B50,MMWR_APP_STATE_COMP[],S$1,0),"ERROR")</f>
        <v>1136</v>
      </c>
      <c r="T50" s="28"/>
    </row>
    <row r="51" spans="1:20" s="123" customFormat="1" x14ac:dyDescent="0.2">
      <c r="A51" s="28"/>
      <c r="B51" s="127" t="s">
        <v>408</v>
      </c>
      <c r="C51" s="109">
        <f>IFERROR(VLOOKUP($B51,MMWR_TRAD_AGG_STATE_COMP[],C$1,0),"ERROR")</f>
        <v>730</v>
      </c>
      <c r="D51" s="110">
        <f>IFERROR(VLOOKUP($B51,MMWR_TRAD_AGG_STATE_COMP[],D$1,0),"ERROR")</f>
        <v>294.46575342469998</v>
      </c>
      <c r="E51" s="111">
        <f>IFERROR(VLOOKUP($B51,MMWR_TRAD_AGG_STATE_COMP[],E$1,0),"ERROR")</f>
        <v>1434</v>
      </c>
      <c r="F51" s="112">
        <f>IFERROR(VLOOKUP($B51,MMWR_TRAD_AGG_STATE_COMP[],F$1,0),"ERROR")</f>
        <v>278</v>
      </c>
      <c r="G51" s="113">
        <f t="shared" si="4"/>
        <v>0.19386331938633194</v>
      </c>
      <c r="H51" s="111">
        <f>IFERROR(VLOOKUP($B51,MMWR_TRAD_AGG_STATE_COMP[],H$1,0),"ERROR")</f>
        <v>1145</v>
      </c>
      <c r="I51" s="112">
        <f>IFERROR(VLOOKUP($B51,MMWR_TRAD_AGG_STATE_COMP[],I$1,0),"ERROR")</f>
        <v>605</v>
      </c>
      <c r="J51" s="114">
        <f t="shared" si="5"/>
        <v>0.52838427947598254</v>
      </c>
      <c r="K51" s="111">
        <f>IFERROR(VLOOKUP($B51,MMWR_TRAD_AGG_STATE_COMP[],K$1,0),"ERROR")</f>
        <v>415</v>
      </c>
      <c r="L51" s="112">
        <f>IFERROR(VLOOKUP($B51,MMWR_TRAD_AGG_STATE_COMP[],L$1,0),"ERROR")</f>
        <v>167</v>
      </c>
      <c r="M51" s="114">
        <f t="shared" si="6"/>
        <v>0.40240963855421685</v>
      </c>
      <c r="N51" s="111">
        <f>IFERROR(VLOOKUP($B51,MMWR_TRAD_AGG_STATE_COMP[],N$1,0),"ERROR")</f>
        <v>369</v>
      </c>
      <c r="O51" s="112">
        <f>IFERROR(VLOOKUP($B51,MMWR_TRAD_AGG_STATE_COMP[],O$1,0),"ERROR")</f>
        <v>195</v>
      </c>
      <c r="P51" s="114">
        <f t="shared" si="7"/>
        <v>0.52845528455284552</v>
      </c>
      <c r="Q51" s="115">
        <f>IFERROR(VLOOKUP($B51,MMWR_TRAD_AGG_STATE_COMP[],Q$1,0),"ERROR")</f>
        <v>2</v>
      </c>
      <c r="R51" s="115">
        <f>IFERROR(VLOOKUP($B51,MMWR_TRAD_AGG_STATE_COMP[],R$1,0),"ERROR")</f>
        <v>4</v>
      </c>
      <c r="S51" s="115">
        <f>IFERROR(VLOOKUP($B51,MMWR_APP_STATE_COMP[],S$1,0),"ERROR")</f>
        <v>1012</v>
      </c>
      <c r="T51" s="28"/>
    </row>
    <row r="52" spans="1:20" s="123" customFormat="1" x14ac:dyDescent="0.2">
      <c r="A52" s="28"/>
      <c r="B52" s="127" t="s">
        <v>413</v>
      </c>
      <c r="C52" s="109">
        <f>IFERROR(VLOOKUP($B52,MMWR_TRAD_AGG_STATE_COMP[],C$1,0),"ERROR")</f>
        <v>3932</v>
      </c>
      <c r="D52" s="110">
        <f>IFERROR(VLOOKUP($B52,MMWR_TRAD_AGG_STATE_COMP[],D$1,0),"ERROR")</f>
        <v>441.76373346899999</v>
      </c>
      <c r="E52" s="111">
        <f>IFERROR(VLOOKUP($B52,MMWR_TRAD_AGG_STATE_COMP[],E$1,0),"ERROR")</f>
        <v>3711</v>
      </c>
      <c r="F52" s="112">
        <f>IFERROR(VLOOKUP($B52,MMWR_TRAD_AGG_STATE_COMP[],F$1,0),"ERROR")</f>
        <v>793</v>
      </c>
      <c r="G52" s="113">
        <f t="shared" si="4"/>
        <v>0.21368903260576663</v>
      </c>
      <c r="H52" s="111">
        <f>IFERROR(VLOOKUP($B52,MMWR_TRAD_AGG_STATE_COMP[],H$1,0),"ERROR")</f>
        <v>5249</v>
      </c>
      <c r="I52" s="112">
        <f>IFERROR(VLOOKUP($B52,MMWR_TRAD_AGG_STATE_COMP[],I$1,0),"ERROR")</f>
        <v>3455</v>
      </c>
      <c r="J52" s="114">
        <f t="shared" si="5"/>
        <v>0.65822061345018101</v>
      </c>
      <c r="K52" s="111">
        <f>IFERROR(VLOOKUP($B52,MMWR_TRAD_AGG_STATE_COMP[],K$1,0),"ERROR")</f>
        <v>1038</v>
      </c>
      <c r="L52" s="112">
        <f>IFERROR(VLOOKUP($B52,MMWR_TRAD_AGG_STATE_COMP[],L$1,0),"ERROR")</f>
        <v>603</v>
      </c>
      <c r="M52" s="114">
        <f t="shared" si="6"/>
        <v>0.58092485549132944</v>
      </c>
      <c r="N52" s="111">
        <f>IFERROR(VLOOKUP($B52,MMWR_TRAD_AGG_STATE_COMP[],N$1,0),"ERROR")</f>
        <v>1735</v>
      </c>
      <c r="O52" s="112">
        <f>IFERROR(VLOOKUP($B52,MMWR_TRAD_AGG_STATE_COMP[],O$1,0),"ERROR")</f>
        <v>1168</v>
      </c>
      <c r="P52" s="114">
        <f t="shared" si="7"/>
        <v>0.67319884726224788</v>
      </c>
      <c r="Q52" s="115">
        <f>IFERROR(VLOOKUP($B52,MMWR_TRAD_AGG_STATE_COMP[],Q$1,0),"ERROR")</f>
        <v>6</v>
      </c>
      <c r="R52" s="115">
        <f>IFERROR(VLOOKUP($B52,MMWR_TRAD_AGG_STATE_COMP[],R$1,0),"ERROR")</f>
        <v>115</v>
      </c>
      <c r="S52" s="115">
        <f>IFERROR(VLOOKUP($B52,MMWR_APP_STATE_COMP[],S$1,0),"ERROR")</f>
        <v>3109</v>
      </c>
      <c r="T52" s="28"/>
    </row>
    <row r="53" spans="1:20" s="123" customFormat="1" x14ac:dyDescent="0.2">
      <c r="A53" s="28"/>
      <c r="B53" s="127" t="s">
        <v>405</v>
      </c>
      <c r="C53" s="109">
        <f>IFERROR(VLOOKUP($B53,MMWR_TRAD_AGG_STATE_COMP[],C$1,0),"ERROR")</f>
        <v>1601</v>
      </c>
      <c r="D53" s="110">
        <f>IFERROR(VLOOKUP($B53,MMWR_TRAD_AGG_STATE_COMP[],D$1,0),"ERROR")</f>
        <v>215.84759525300001</v>
      </c>
      <c r="E53" s="111">
        <f>IFERROR(VLOOKUP($B53,MMWR_TRAD_AGG_STATE_COMP[],E$1,0),"ERROR")</f>
        <v>2713</v>
      </c>
      <c r="F53" s="112">
        <f>IFERROR(VLOOKUP($B53,MMWR_TRAD_AGG_STATE_COMP[],F$1,0),"ERROR")</f>
        <v>618</v>
      </c>
      <c r="G53" s="113">
        <f t="shared" si="4"/>
        <v>0.22779211205307778</v>
      </c>
      <c r="H53" s="111">
        <f>IFERROR(VLOOKUP($B53,MMWR_TRAD_AGG_STATE_COMP[],H$1,0),"ERROR")</f>
        <v>2455</v>
      </c>
      <c r="I53" s="112">
        <f>IFERROR(VLOOKUP($B53,MMWR_TRAD_AGG_STATE_COMP[],I$1,0),"ERROR")</f>
        <v>1062</v>
      </c>
      <c r="J53" s="114">
        <f t="shared" si="5"/>
        <v>0.4325865580448065</v>
      </c>
      <c r="K53" s="111">
        <f>IFERROR(VLOOKUP($B53,MMWR_TRAD_AGG_STATE_COMP[],K$1,0),"ERROR")</f>
        <v>649</v>
      </c>
      <c r="L53" s="112">
        <f>IFERROR(VLOOKUP($B53,MMWR_TRAD_AGG_STATE_COMP[],L$1,0),"ERROR")</f>
        <v>293</v>
      </c>
      <c r="M53" s="114">
        <f t="shared" si="6"/>
        <v>0.45146379044684132</v>
      </c>
      <c r="N53" s="111">
        <f>IFERROR(VLOOKUP($B53,MMWR_TRAD_AGG_STATE_COMP[],N$1,0),"ERROR")</f>
        <v>801</v>
      </c>
      <c r="O53" s="112">
        <f>IFERROR(VLOOKUP($B53,MMWR_TRAD_AGG_STATE_COMP[],O$1,0),"ERROR")</f>
        <v>432</v>
      </c>
      <c r="P53" s="114">
        <f t="shared" si="7"/>
        <v>0.5393258426966292</v>
      </c>
      <c r="Q53" s="115">
        <f>IFERROR(VLOOKUP($B53,MMWR_TRAD_AGG_STATE_COMP[],Q$1,0),"ERROR")</f>
        <v>4</v>
      </c>
      <c r="R53" s="115">
        <f>IFERROR(VLOOKUP($B53,MMWR_TRAD_AGG_STATE_COMP[],R$1,0),"ERROR")</f>
        <v>9</v>
      </c>
      <c r="S53" s="115">
        <f>IFERROR(VLOOKUP($B53,MMWR_APP_STATE_COMP[],S$1,0),"ERROR")</f>
        <v>1920</v>
      </c>
      <c r="T53" s="28"/>
    </row>
    <row r="54" spans="1:20" s="123" customFormat="1" x14ac:dyDescent="0.2">
      <c r="A54" s="28"/>
      <c r="B54" s="127" t="s">
        <v>409</v>
      </c>
      <c r="C54" s="109">
        <f>IFERROR(VLOOKUP($B54,MMWR_TRAD_AGG_STATE_COMP[],C$1,0),"ERROR")</f>
        <v>8449</v>
      </c>
      <c r="D54" s="110">
        <f>IFERROR(VLOOKUP($B54,MMWR_TRAD_AGG_STATE_COMP[],D$1,0),"ERROR")</f>
        <v>412.86329743160002</v>
      </c>
      <c r="E54" s="111">
        <f>IFERROR(VLOOKUP($B54,MMWR_TRAD_AGG_STATE_COMP[],E$1,0),"ERROR")</f>
        <v>4851</v>
      </c>
      <c r="F54" s="112">
        <f>IFERROR(VLOOKUP($B54,MMWR_TRAD_AGG_STATE_COMP[],F$1,0),"ERROR")</f>
        <v>1203</v>
      </c>
      <c r="G54" s="113">
        <f t="shared" si="4"/>
        <v>0.24799010513296227</v>
      </c>
      <c r="H54" s="111">
        <f>IFERROR(VLOOKUP($B54,MMWR_TRAD_AGG_STATE_COMP[],H$1,0),"ERROR")</f>
        <v>11469</v>
      </c>
      <c r="I54" s="112">
        <f>IFERROR(VLOOKUP($B54,MMWR_TRAD_AGG_STATE_COMP[],I$1,0),"ERROR")</f>
        <v>8288</v>
      </c>
      <c r="J54" s="114">
        <f t="shared" si="5"/>
        <v>0.72264364809486437</v>
      </c>
      <c r="K54" s="111">
        <f>IFERROR(VLOOKUP($B54,MMWR_TRAD_AGG_STATE_COMP[],K$1,0),"ERROR")</f>
        <v>3453</v>
      </c>
      <c r="L54" s="112">
        <f>IFERROR(VLOOKUP($B54,MMWR_TRAD_AGG_STATE_COMP[],L$1,0),"ERROR")</f>
        <v>2700</v>
      </c>
      <c r="M54" s="114">
        <f t="shared" si="6"/>
        <v>0.78192875760208513</v>
      </c>
      <c r="N54" s="111">
        <f>IFERROR(VLOOKUP($B54,MMWR_TRAD_AGG_STATE_COMP[],N$1,0),"ERROR")</f>
        <v>2500</v>
      </c>
      <c r="O54" s="112">
        <f>IFERROR(VLOOKUP($B54,MMWR_TRAD_AGG_STATE_COMP[],O$1,0),"ERROR")</f>
        <v>1219</v>
      </c>
      <c r="P54" s="114">
        <f t="shared" si="7"/>
        <v>0.48759999999999998</v>
      </c>
      <c r="Q54" s="115">
        <f>IFERROR(VLOOKUP($B54,MMWR_TRAD_AGG_STATE_COMP[],Q$1,0),"ERROR")</f>
        <v>5</v>
      </c>
      <c r="R54" s="115">
        <f>IFERROR(VLOOKUP($B54,MMWR_TRAD_AGG_STATE_COMP[],R$1,0),"ERROR")</f>
        <v>74</v>
      </c>
      <c r="S54" s="115">
        <f>IFERROR(VLOOKUP($B54,MMWR_APP_STATE_COMP[],S$1,0),"ERROR")</f>
        <v>5562</v>
      </c>
      <c r="T54" s="28"/>
    </row>
    <row r="55" spans="1:20" s="123" customFormat="1" x14ac:dyDescent="0.2">
      <c r="A55" s="28"/>
      <c r="B55" s="127" t="s">
        <v>83</v>
      </c>
      <c r="C55" s="109">
        <f>IFERROR(VLOOKUP($B55,MMWR_TRAD_AGG_STATE_COMP[],C$1,0),"ERROR")</f>
        <v>12494</v>
      </c>
      <c r="D55" s="110">
        <f>IFERROR(VLOOKUP($B55,MMWR_TRAD_AGG_STATE_COMP[],D$1,0),"ERROR")</f>
        <v>394.20801984949998</v>
      </c>
      <c r="E55" s="111">
        <f>IFERROR(VLOOKUP($B55,MMWR_TRAD_AGG_STATE_COMP[],E$1,0),"ERROR")</f>
        <v>6369</v>
      </c>
      <c r="F55" s="112">
        <f>IFERROR(VLOOKUP($B55,MMWR_TRAD_AGG_STATE_COMP[],F$1,0),"ERROR")</f>
        <v>1146</v>
      </c>
      <c r="G55" s="113">
        <f t="shared" si="4"/>
        <v>0.17993405558172398</v>
      </c>
      <c r="H55" s="111">
        <f>IFERROR(VLOOKUP($B55,MMWR_TRAD_AGG_STATE_COMP[],H$1,0),"ERROR")</f>
        <v>18797</v>
      </c>
      <c r="I55" s="112">
        <f>IFERROR(VLOOKUP($B55,MMWR_TRAD_AGG_STATE_COMP[],I$1,0),"ERROR")</f>
        <v>13384</v>
      </c>
      <c r="J55" s="114">
        <f t="shared" si="5"/>
        <v>0.71202851518859389</v>
      </c>
      <c r="K55" s="111">
        <f>IFERROR(VLOOKUP($B55,MMWR_TRAD_AGG_STATE_COMP[],K$1,0),"ERROR")</f>
        <v>4937</v>
      </c>
      <c r="L55" s="112">
        <f>IFERROR(VLOOKUP($B55,MMWR_TRAD_AGG_STATE_COMP[],L$1,0),"ERROR")</f>
        <v>3379</v>
      </c>
      <c r="M55" s="114">
        <f t="shared" si="6"/>
        <v>0.68442373911282151</v>
      </c>
      <c r="N55" s="111">
        <f>IFERROR(VLOOKUP($B55,MMWR_TRAD_AGG_STATE_COMP[],N$1,0),"ERROR")</f>
        <v>5205</v>
      </c>
      <c r="O55" s="112">
        <f>IFERROR(VLOOKUP($B55,MMWR_TRAD_AGG_STATE_COMP[],O$1,0),"ERROR")</f>
        <v>3924</v>
      </c>
      <c r="P55" s="114">
        <f t="shared" si="7"/>
        <v>0.75389048991354468</v>
      </c>
      <c r="Q55" s="115">
        <f>IFERROR(VLOOKUP($B55,MMWR_TRAD_AGG_STATE_COMP[],Q$1,0),"ERROR")</f>
        <v>13</v>
      </c>
      <c r="R55" s="115">
        <f>IFERROR(VLOOKUP($B55,MMWR_TRAD_AGG_STATE_COMP[],R$1,0),"ERROR")</f>
        <v>140</v>
      </c>
      <c r="S55" s="115">
        <f>IFERROR(VLOOKUP($B55,MMWR_APP_STATE_COMP[],S$1,0),"ERROR")</f>
        <v>5295</v>
      </c>
      <c r="T55" s="28"/>
    </row>
    <row r="56" spans="1:20" s="123" customFormat="1" x14ac:dyDescent="0.2">
      <c r="A56" s="28"/>
      <c r="B56" s="126" t="s">
        <v>380</v>
      </c>
      <c r="C56" s="102">
        <f>IFERROR(VLOOKUP($B56,MMWR_TRAD_AGG_ST_DISTRICT_COMP[],C$1,0),"ERROR")</f>
        <v>77999</v>
      </c>
      <c r="D56" s="103">
        <f>IFERROR(VLOOKUP($B56,MMWR_TRAD_AGG_ST_DISTRICT_COMP[],D$1,0),"ERROR")</f>
        <v>373.0065898281</v>
      </c>
      <c r="E56" s="102">
        <f>IFERROR(VLOOKUP($B56,MMWR_TRAD_AGG_ST_DISTRICT_COMP[],E$1,0),"ERROR")</f>
        <v>76804</v>
      </c>
      <c r="F56" s="102">
        <f>IFERROR(VLOOKUP($B56,MMWR_TRAD_AGG_ST_DISTRICT_COMP[],F$1,0),"ERROR")</f>
        <v>17724</v>
      </c>
      <c r="G56" s="104">
        <f t="shared" si="4"/>
        <v>0.23076923076923078</v>
      </c>
      <c r="H56" s="102">
        <f>IFERROR(VLOOKUP($B56,MMWR_TRAD_AGG_ST_DISTRICT_COMP[],H$1,0),"ERROR")</f>
        <v>113220</v>
      </c>
      <c r="I56" s="102">
        <f>IFERROR(VLOOKUP($B56,MMWR_TRAD_AGG_ST_DISTRICT_COMP[],I$1,0),"ERROR")</f>
        <v>74308</v>
      </c>
      <c r="J56" s="105">
        <f t="shared" si="5"/>
        <v>0.65631513866807989</v>
      </c>
      <c r="K56" s="102">
        <f>IFERROR(VLOOKUP($B56,MMWR_TRAD_AGG_ST_DISTRICT_COMP[],K$1,0),"ERROR")</f>
        <v>31393</v>
      </c>
      <c r="L56" s="102">
        <f>IFERROR(VLOOKUP($B56,MMWR_TRAD_AGG_ST_DISTRICT_COMP[],L$1,0),"ERROR")</f>
        <v>20708</v>
      </c>
      <c r="M56" s="105">
        <f t="shared" si="6"/>
        <v>0.65963749880546618</v>
      </c>
      <c r="N56" s="102">
        <f>IFERROR(VLOOKUP($B56,MMWR_TRAD_AGG_ST_DISTRICT_COMP[],N$1,0),"ERROR")</f>
        <v>40710</v>
      </c>
      <c r="O56" s="102">
        <f>IFERROR(VLOOKUP($B56,MMWR_TRAD_AGG_ST_DISTRICT_COMP[],O$1,0),"ERROR")</f>
        <v>25254</v>
      </c>
      <c r="P56" s="105">
        <f t="shared" si="7"/>
        <v>0.62033898305084745</v>
      </c>
      <c r="Q56" s="102">
        <f>IFERROR(VLOOKUP($B56,MMWR_TRAD_AGG_ST_DISTRICT_COMP[],Q$1,0),"ERROR")</f>
        <v>5482</v>
      </c>
      <c r="R56" s="106">
        <f>IFERROR(VLOOKUP($B56,MMWR_TRAD_AGG_ST_DISTRICT_COMP[],R$1,0),"ERROR")</f>
        <v>1085</v>
      </c>
      <c r="S56" s="106">
        <f>SUM(S57:S63)</f>
        <v>89194</v>
      </c>
      <c r="T56" s="28"/>
    </row>
    <row r="57" spans="1:20" s="123" customFormat="1" x14ac:dyDescent="0.2">
      <c r="A57" s="28"/>
      <c r="B57" s="127" t="s">
        <v>388</v>
      </c>
      <c r="C57" s="109">
        <f>IFERROR(VLOOKUP($B57,MMWR_TRAD_AGG_STATE_COMP[],C$1,0),"ERROR")</f>
        <v>13701</v>
      </c>
      <c r="D57" s="110">
        <f>IFERROR(VLOOKUP($B57,MMWR_TRAD_AGG_STATE_COMP[],D$1,0),"ERROR")</f>
        <v>385.6915553609</v>
      </c>
      <c r="E57" s="111">
        <f>IFERROR(VLOOKUP($B57,MMWR_TRAD_AGG_STATE_COMP[],E$1,0),"ERROR")</f>
        <v>7962</v>
      </c>
      <c r="F57" s="112">
        <f>IFERROR(VLOOKUP($B57,MMWR_TRAD_AGG_STATE_COMP[],F$1,0),"ERROR")</f>
        <v>1379</v>
      </c>
      <c r="G57" s="113">
        <f t="shared" si="4"/>
        <v>0.17319768902285859</v>
      </c>
      <c r="H57" s="111">
        <f>IFERROR(VLOOKUP($B57,MMWR_TRAD_AGG_STATE_COMP[],H$1,0),"ERROR")</f>
        <v>17596</v>
      </c>
      <c r="I57" s="112">
        <f>IFERROR(VLOOKUP($B57,MMWR_TRAD_AGG_STATE_COMP[],I$1,0),"ERROR")</f>
        <v>11858</v>
      </c>
      <c r="J57" s="114">
        <f t="shared" si="5"/>
        <v>0.67390315980904747</v>
      </c>
      <c r="K57" s="111">
        <f>IFERROR(VLOOKUP($B57,MMWR_TRAD_AGG_STATE_COMP[],K$1,0),"ERROR")</f>
        <v>5257</v>
      </c>
      <c r="L57" s="112">
        <f>IFERROR(VLOOKUP($B57,MMWR_TRAD_AGG_STATE_COMP[],L$1,0),"ERROR")</f>
        <v>3943</v>
      </c>
      <c r="M57" s="114">
        <f t="shared" si="6"/>
        <v>0.75004755564009895</v>
      </c>
      <c r="N57" s="111">
        <f>IFERROR(VLOOKUP($B57,MMWR_TRAD_AGG_STATE_COMP[],N$1,0),"ERROR")</f>
        <v>3455</v>
      </c>
      <c r="O57" s="112">
        <f>IFERROR(VLOOKUP($B57,MMWR_TRAD_AGG_STATE_COMP[],O$1,0),"ERROR")</f>
        <v>2094</v>
      </c>
      <c r="P57" s="114">
        <f t="shared" si="7"/>
        <v>0.60607814761215628</v>
      </c>
      <c r="Q57" s="115">
        <f>IFERROR(VLOOKUP($B57,MMWR_TRAD_AGG_STATE_COMP[],Q$1,0),"ERROR")</f>
        <v>389</v>
      </c>
      <c r="R57" s="115">
        <f>IFERROR(VLOOKUP($B57,MMWR_TRAD_AGG_STATE_COMP[],R$1,0),"ERROR")</f>
        <v>357</v>
      </c>
      <c r="S57" s="115">
        <f>IFERROR(VLOOKUP($B57,MMWR_APP_STATE_COMP[],S$1,0),"ERROR")</f>
        <v>10687</v>
      </c>
      <c r="T57" s="28"/>
    </row>
    <row r="58" spans="1:20" s="123" customFormat="1" x14ac:dyDescent="0.2">
      <c r="A58" s="28"/>
      <c r="B58" s="127" t="s">
        <v>425</v>
      </c>
      <c r="C58" s="109">
        <f>IFERROR(VLOOKUP($B58,MMWR_TRAD_AGG_STATE_COMP[],C$1,0),"ERROR")</f>
        <v>20830</v>
      </c>
      <c r="D58" s="110">
        <f>IFERROR(VLOOKUP($B58,MMWR_TRAD_AGG_STATE_COMP[],D$1,0),"ERROR")</f>
        <v>326.8901584253</v>
      </c>
      <c r="E58" s="111">
        <f>IFERROR(VLOOKUP($B58,MMWR_TRAD_AGG_STATE_COMP[],E$1,0),"ERROR")</f>
        <v>23707</v>
      </c>
      <c r="F58" s="112">
        <f>IFERROR(VLOOKUP($B58,MMWR_TRAD_AGG_STATE_COMP[],F$1,0),"ERROR")</f>
        <v>5834</v>
      </c>
      <c r="G58" s="113">
        <f t="shared" si="4"/>
        <v>0.24608765343569411</v>
      </c>
      <c r="H58" s="111">
        <f>IFERROR(VLOOKUP($B58,MMWR_TRAD_AGG_STATE_COMP[],H$1,0),"ERROR")</f>
        <v>29104</v>
      </c>
      <c r="I58" s="112">
        <f>IFERROR(VLOOKUP($B58,MMWR_TRAD_AGG_STATE_COMP[],I$1,0),"ERROR")</f>
        <v>18697</v>
      </c>
      <c r="J58" s="114">
        <f t="shared" si="5"/>
        <v>0.64242028587135791</v>
      </c>
      <c r="K58" s="111">
        <f>IFERROR(VLOOKUP($B58,MMWR_TRAD_AGG_STATE_COMP[],K$1,0),"ERROR")</f>
        <v>6955</v>
      </c>
      <c r="L58" s="112">
        <f>IFERROR(VLOOKUP($B58,MMWR_TRAD_AGG_STATE_COMP[],L$1,0),"ERROR")</f>
        <v>3751</v>
      </c>
      <c r="M58" s="114">
        <f t="shared" si="6"/>
        <v>0.53932422717469441</v>
      </c>
      <c r="N58" s="111">
        <f>IFERROR(VLOOKUP($B58,MMWR_TRAD_AGG_STATE_COMP[],N$1,0),"ERROR")</f>
        <v>15714</v>
      </c>
      <c r="O58" s="112">
        <f>IFERROR(VLOOKUP($B58,MMWR_TRAD_AGG_STATE_COMP[],O$1,0),"ERROR")</f>
        <v>8932</v>
      </c>
      <c r="P58" s="114">
        <f t="shared" si="7"/>
        <v>0.56841033473335878</v>
      </c>
      <c r="Q58" s="115">
        <f>IFERROR(VLOOKUP($B58,MMWR_TRAD_AGG_STATE_COMP[],Q$1,0),"ERROR")</f>
        <v>2089</v>
      </c>
      <c r="R58" s="115">
        <f>IFERROR(VLOOKUP($B58,MMWR_TRAD_AGG_STATE_COMP[],R$1,0),"ERROR")</f>
        <v>261</v>
      </c>
      <c r="S58" s="115">
        <f>IFERROR(VLOOKUP($B58,MMWR_APP_STATE_COMP[],S$1,0),"ERROR")</f>
        <v>30761</v>
      </c>
      <c r="T58" s="28"/>
    </row>
    <row r="59" spans="1:20" s="123" customFormat="1" x14ac:dyDescent="0.2">
      <c r="A59" s="28"/>
      <c r="B59" s="127" t="s">
        <v>381</v>
      </c>
      <c r="C59" s="109">
        <f>IFERROR(VLOOKUP($B59,MMWR_TRAD_AGG_STATE_COMP[],C$1,0),"ERROR")</f>
        <v>16594</v>
      </c>
      <c r="D59" s="110">
        <f>IFERROR(VLOOKUP($B59,MMWR_TRAD_AGG_STATE_COMP[],D$1,0),"ERROR")</f>
        <v>398.33952030850003</v>
      </c>
      <c r="E59" s="111">
        <f>IFERROR(VLOOKUP($B59,MMWR_TRAD_AGG_STATE_COMP[],E$1,0),"ERROR")</f>
        <v>18502</v>
      </c>
      <c r="F59" s="112">
        <f>IFERROR(VLOOKUP($B59,MMWR_TRAD_AGG_STATE_COMP[],F$1,0),"ERROR")</f>
        <v>4354</v>
      </c>
      <c r="G59" s="113">
        <f t="shared" si="4"/>
        <v>0.23532591071235542</v>
      </c>
      <c r="H59" s="111">
        <f>IFERROR(VLOOKUP($B59,MMWR_TRAD_AGG_STATE_COMP[],H$1,0),"ERROR")</f>
        <v>24631</v>
      </c>
      <c r="I59" s="112">
        <f>IFERROR(VLOOKUP($B59,MMWR_TRAD_AGG_STATE_COMP[],I$1,0),"ERROR")</f>
        <v>17135</v>
      </c>
      <c r="J59" s="114">
        <f t="shared" si="5"/>
        <v>0.69566806057407338</v>
      </c>
      <c r="K59" s="111">
        <f>IFERROR(VLOOKUP($B59,MMWR_TRAD_AGG_STATE_COMP[],K$1,0),"ERROR")</f>
        <v>8402</v>
      </c>
      <c r="L59" s="112">
        <f>IFERROR(VLOOKUP($B59,MMWR_TRAD_AGG_STATE_COMP[],L$1,0),"ERROR")</f>
        <v>5491</v>
      </c>
      <c r="M59" s="114">
        <f t="shared" si="6"/>
        <v>0.65353487264936916</v>
      </c>
      <c r="N59" s="111">
        <f>IFERROR(VLOOKUP($B59,MMWR_TRAD_AGG_STATE_COMP[],N$1,0),"ERROR")</f>
        <v>13039</v>
      </c>
      <c r="O59" s="112">
        <f>IFERROR(VLOOKUP($B59,MMWR_TRAD_AGG_STATE_COMP[],O$1,0),"ERROR")</f>
        <v>9387</v>
      </c>
      <c r="P59" s="114">
        <f t="shared" si="7"/>
        <v>0.71991717156223634</v>
      </c>
      <c r="Q59" s="115">
        <f>IFERROR(VLOOKUP($B59,MMWR_TRAD_AGG_STATE_COMP[],Q$1,0),"ERROR")</f>
        <v>1051</v>
      </c>
      <c r="R59" s="115">
        <f>IFERROR(VLOOKUP($B59,MMWR_TRAD_AGG_STATE_COMP[],R$1,0),"ERROR")</f>
        <v>19</v>
      </c>
      <c r="S59" s="115">
        <f>IFERROR(VLOOKUP($B59,MMWR_APP_STATE_COMP[],S$1,0),"ERROR")</f>
        <v>18005</v>
      </c>
      <c r="T59" s="28"/>
    </row>
    <row r="60" spans="1:20" s="123" customFormat="1" x14ac:dyDescent="0.2">
      <c r="A60" s="28"/>
      <c r="B60" s="127" t="s">
        <v>393</v>
      </c>
      <c r="C60" s="109">
        <f>IFERROR(VLOOKUP($B60,MMWR_TRAD_AGG_STATE_COMP[],C$1,0),"ERROR")</f>
        <v>6847</v>
      </c>
      <c r="D60" s="110">
        <f>IFERROR(VLOOKUP($B60,MMWR_TRAD_AGG_STATE_COMP[],D$1,0),"ERROR")</f>
        <v>541.17584343509998</v>
      </c>
      <c r="E60" s="111">
        <f>IFERROR(VLOOKUP($B60,MMWR_TRAD_AGG_STATE_COMP[],E$1,0),"ERROR")</f>
        <v>4010</v>
      </c>
      <c r="F60" s="112">
        <f>IFERROR(VLOOKUP($B60,MMWR_TRAD_AGG_STATE_COMP[],F$1,0),"ERROR")</f>
        <v>796</v>
      </c>
      <c r="G60" s="113">
        <f t="shared" si="4"/>
        <v>0.19850374064837906</v>
      </c>
      <c r="H60" s="111">
        <f>IFERROR(VLOOKUP($B60,MMWR_TRAD_AGG_STATE_COMP[],H$1,0),"ERROR")</f>
        <v>10347</v>
      </c>
      <c r="I60" s="112">
        <f>IFERROR(VLOOKUP($B60,MMWR_TRAD_AGG_STATE_COMP[],I$1,0),"ERROR")</f>
        <v>6888</v>
      </c>
      <c r="J60" s="114">
        <f t="shared" si="5"/>
        <v>0.66570020295737897</v>
      </c>
      <c r="K60" s="111">
        <f>IFERROR(VLOOKUP($B60,MMWR_TRAD_AGG_STATE_COMP[],K$1,0),"ERROR")</f>
        <v>3019</v>
      </c>
      <c r="L60" s="112">
        <f>IFERROR(VLOOKUP($B60,MMWR_TRAD_AGG_STATE_COMP[],L$1,0),"ERROR")</f>
        <v>2363</v>
      </c>
      <c r="M60" s="114">
        <f t="shared" si="6"/>
        <v>0.78270950645909243</v>
      </c>
      <c r="N60" s="111">
        <f>IFERROR(VLOOKUP($B60,MMWR_TRAD_AGG_STATE_COMP[],N$1,0),"ERROR")</f>
        <v>1341</v>
      </c>
      <c r="O60" s="112">
        <f>IFERROR(VLOOKUP($B60,MMWR_TRAD_AGG_STATE_COMP[],O$1,0),"ERROR")</f>
        <v>636</v>
      </c>
      <c r="P60" s="114">
        <f t="shared" si="7"/>
        <v>0.47427293064876958</v>
      </c>
      <c r="Q60" s="115">
        <f>IFERROR(VLOOKUP($B60,MMWR_TRAD_AGG_STATE_COMP[],Q$1,0),"ERROR")</f>
        <v>453</v>
      </c>
      <c r="R60" s="115">
        <f>IFERROR(VLOOKUP($B60,MMWR_TRAD_AGG_STATE_COMP[],R$1,0),"ERROR")</f>
        <v>142</v>
      </c>
      <c r="S60" s="115">
        <f>IFERROR(VLOOKUP($B60,MMWR_APP_STATE_COMP[],S$1,0),"ERROR")</f>
        <v>3351</v>
      </c>
      <c r="T60" s="28"/>
    </row>
    <row r="61" spans="1:20" s="123" customFormat="1" x14ac:dyDescent="0.2">
      <c r="A61" s="28"/>
      <c r="B61" s="127" t="s">
        <v>427</v>
      </c>
      <c r="C61" s="109">
        <f>IFERROR(VLOOKUP($B61,MMWR_TRAD_AGG_STATE_COMP[],C$1,0),"ERROR")</f>
        <v>2831</v>
      </c>
      <c r="D61" s="110">
        <f>IFERROR(VLOOKUP($B61,MMWR_TRAD_AGG_STATE_COMP[],D$1,0),"ERROR")</f>
        <v>375.83256799719999</v>
      </c>
      <c r="E61" s="111">
        <f>IFERROR(VLOOKUP($B61,MMWR_TRAD_AGG_STATE_COMP[],E$1,0),"ERROR")</f>
        <v>3517</v>
      </c>
      <c r="F61" s="112">
        <f>IFERROR(VLOOKUP($B61,MMWR_TRAD_AGG_STATE_COMP[],F$1,0),"ERROR")</f>
        <v>854</v>
      </c>
      <c r="G61" s="113">
        <f t="shared" si="4"/>
        <v>0.24282058572647142</v>
      </c>
      <c r="H61" s="111">
        <f>IFERROR(VLOOKUP($B61,MMWR_TRAD_AGG_STATE_COMP[],H$1,0),"ERROR")</f>
        <v>5326</v>
      </c>
      <c r="I61" s="112">
        <f>IFERROR(VLOOKUP($B61,MMWR_TRAD_AGG_STATE_COMP[],I$1,0),"ERROR")</f>
        <v>3472</v>
      </c>
      <c r="J61" s="114">
        <f t="shared" si="5"/>
        <v>0.65189635749155084</v>
      </c>
      <c r="K61" s="111">
        <f>IFERROR(VLOOKUP($B61,MMWR_TRAD_AGG_STATE_COMP[],K$1,0),"ERROR")</f>
        <v>945</v>
      </c>
      <c r="L61" s="112">
        <f>IFERROR(VLOOKUP($B61,MMWR_TRAD_AGG_STATE_COMP[],L$1,0),"ERROR")</f>
        <v>709</v>
      </c>
      <c r="M61" s="114">
        <f t="shared" si="6"/>
        <v>0.7502645502645503</v>
      </c>
      <c r="N61" s="111">
        <f>IFERROR(VLOOKUP($B61,MMWR_TRAD_AGG_STATE_COMP[],N$1,0),"ERROR")</f>
        <v>1498</v>
      </c>
      <c r="O61" s="112">
        <f>IFERROR(VLOOKUP($B61,MMWR_TRAD_AGG_STATE_COMP[],O$1,0),"ERROR")</f>
        <v>1007</v>
      </c>
      <c r="P61" s="114">
        <f t="shared" si="7"/>
        <v>0.6722296395193591</v>
      </c>
      <c r="Q61" s="115">
        <f>IFERROR(VLOOKUP($B61,MMWR_TRAD_AGG_STATE_COMP[],Q$1,0),"ERROR")</f>
        <v>335</v>
      </c>
      <c r="R61" s="115">
        <f>IFERROR(VLOOKUP($B61,MMWR_TRAD_AGG_STATE_COMP[],R$1,0),"ERROR")</f>
        <v>2</v>
      </c>
      <c r="S61" s="115">
        <f>IFERROR(VLOOKUP($B61,MMWR_APP_STATE_COMP[],S$1,0),"ERROR")</f>
        <v>6237</v>
      </c>
      <c r="T61" s="28"/>
    </row>
    <row r="62" spans="1:20" s="123" customFormat="1" x14ac:dyDescent="0.2">
      <c r="A62" s="28"/>
      <c r="B62" s="127" t="s">
        <v>383</v>
      </c>
      <c r="C62" s="109">
        <f>IFERROR(VLOOKUP($B62,MMWR_TRAD_AGG_STATE_COMP[],C$1,0),"ERROR")</f>
        <v>10544</v>
      </c>
      <c r="D62" s="110">
        <f>IFERROR(VLOOKUP($B62,MMWR_TRAD_AGG_STATE_COMP[],D$1,0),"ERROR")</f>
        <v>350.54941198789999</v>
      </c>
      <c r="E62" s="111">
        <f>IFERROR(VLOOKUP($B62,MMWR_TRAD_AGG_STATE_COMP[],E$1,0),"ERROR")</f>
        <v>9576</v>
      </c>
      <c r="F62" s="112">
        <f>IFERROR(VLOOKUP($B62,MMWR_TRAD_AGG_STATE_COMP[],F$1,0),"ERROR")</f>
        <v>2572</v>
      </c>
      <c r="G62" s="113">
        <f t="shared" si="4"/>
        <v>0.26858813700918965</v>
      </c>
      <c r="H62" s="111">
        <f>IFERROR(VLOOKUP($B62,MMWR_TRAD_AGG_STATE_COMP[],H$1,0),"ERROR")</f>
        <v>14897</v>
      </c>
      <c r="I62" s="112">
        <f>IFERROR(VLOOKUP($B62,MMWR_TRAD_AGG_STATE_COMP[],I$1,0),"ERROR")</f>
        <v>10529</v>
      </c>
      <c r="J62" s="114">
        <f t="shared" si="5"/>
        <v>0.70678660132912663</v>
      </c>
      <c r="K62" s="111">
        <f>IFERROR(VLOOKUP($B62,MMWR_TRAD_AGG_STATE_COMP[],K$1,0),"ERROR")</f>
        <v>3080</v>
      </c>
      <c r="L62" s="112">
        <f>IFERROR(VLOOKUP($B62,MMWR_TRAD_AGG_STATE_COMP[],L$1,0),"ERROR")</f>
        <v>1896</v>
      </c>
      <c r="M62" s="114">
        <f t="shared" si="6"/>
        <v>0.61558441558441557</v>
      </c>
      <c r="N62" s="111">
        <f>IFERROR(VLOOKUP($B62,MMWR_TRAD_AGG_STATE_COMP[],N$1,0),"ERROR")</f>
        <v>3266</v>
      </c>
      <c r="O62" s="112">
        <f>IFERROR(VLOOKUP($B62,MMWR_TRAD_AGG_STATE_COMP[],O$1,0),"ERROR")</f>
        <v>1781</v>
      </c>
      <c r="P62" s="114">
        <f t="shared" si="7"/>
        <v>0.54531537048377221</v>
      </c>
      <c r="Q62" s="115">
        <f>IFERROR(VLOOKUP($B62,MMWR_TRAD_AGG_STATE_COMP[],Q$1,0),"ERROR")</f>
        <v>596</v>
      </c>
      <c r="R62" s="115">
        <f>IFERROR(VLOOKUP($B62,MMWR_TRAD_AGG_STATE_COMP[],R$1,0),"ERROR")</f>
        <v>60</v>
      </c>
      <c r="S62" s="115">
        <f>IFERROR(VLOOKUP($B62,MMWR_APP_STATE_COMP[],S$1,0),"ERROR")</f>
        <v>13045</v>
      </c>
      <c r="T62" s="28"/>
    </row>
    <row r="63" spans="1:20" s="123" customFormat="1" x14ac:dyDescent="0.2">
      <c r="A63" s="28"/>
      <c r="B63" s="127" t="s">
        <v>384</v>
      </c>
      <c r="C63" s="109">
        <f>IFERROR(VLOOKUP($B63,MMWR_TRAD_AGG_STATE_COMP[],C$1,0),"ERROR")</f>
        <v>6652</v>
      </c>
      <c r="D63" s="110">
        <f>IFERROR(VLOOKUP($B63,MMWR_TRAD_AGG_STATE_COMP[],D$1,0),"ERROR")</f>
        <v>289.38770294649999</v>
      </c>
      <c r="E63" s="111">
        <f>IFERROR(VLOOKUP($B63,MMWR_TRAD_AGG_STATE_COMP[],E$1,0),"ERROR")</f>
        <v>9530</v>
      </c>
      <c r="F63" s="112">
        <f>IFERROR(VLOOKUP($B63,MMWR_TRAD_AGG_STATE_COMP[],F$1,0),"ERROR")</f>
        <v>1935</v>
      </c>
      <c r="G63" s="113">
        <f t="shared" si="4"/>
        <v>0.20304302203567681</v>
      </c>
      <c r="H63" s="111">
        <f>IFERROR(VLOOKUP($B63,MMWR_TRAD_AGG_STATE_COMP[],H$1,0),"ERROR")</f>
        <v>11319</v>
      </c>
      <c r="I63" s="112">
        <f>IFERROR(VLOOKUP($B63,MMWR_TRAD_AGG_STATE_COMP[],I$1,0),"ERROR")</f>
        <v>5729</v>
      </c>
      <c r="J63" s="114">
        <f t="shared" si="5"/>
        <v>0.50614011838501638</v>
      </c>
      <c r="K63" s="111">
        <f>IFERROR(VLOOKUP($B63,MMWR_TRAD_AGG_STATE_COMP[],K$1,0),"ERROR")</f>
        <v>3735</v>
      </c>
      <c r="L63" s="112">
        <f>IFERROR(VLOOKUP($B63,MMWR_TRAD_AGG_STATE_COMP[],L$1,0),"ERROR")</f>
        <v>2555</v>
      </c>
      <c r="M63" s="114">
        <f t="shared" si="6"/>
        <v>0.68406961178045511</v>
      </c>
      <c r="N63" s="111">
        <f>IFERROR(VLOOKUP($B63,MMWR_TRAD_AGG_STATE_COMP[],N$1,0),"ERROR")</f>
        <v>2397</v>
      </c>
      <c r="O63" s="112">
        <f>IFERROR(VLOOKUP($B63,MMWR_TRAD_AGG_STATE_COMP[],O$1,0),"ERROR")</f>
        <v>1417</v>
      </c>
      <c r="P63" s="114">
        <f t="shared" si="7"/>
        <v>0.59115561118064242</v>
      </c>
      <c r="Q63" s="115">
        <f>IFERROR(VLOOKUP($B63,MMWR_TRAD_AGG_STATE_COMP[],Q$1,0),"ERROR")</f>
        <v>569</v>
      </c>
      <c r="R63" s="115">
        <f>IFERROR(VLOOKUP($B63,MMWR_TRAD_AGG_STATE_COMP[],R$1,0),"ERROR")</f>
        <v>244</v>
      </c>
      <c r="S63" s="115">
        <f>IFERROR(VLOOKUP($B63,MMWR_APP_STATE_COMP[],S$1,0),"ERROR")</f>
        <v>7108</v>
      </c>
      <c r="T63" s="28"/>
    </row>
    <row r="64" spans="1:20" s="123" customFormat="1" x14ac:dyDescent="0.2">
      <c r="A64" s="28"/>
      <c r="B64" s="128" t="s">
        <v>8</v>
      </c>
      <c r="C64" s="102">
        <f>IFERROR(VLOOKUP($B64,MMWR_TRAD_AGG_ST_DISTRICT_COMP[],C$1,0),"ERROR")</f>
        <v>4335</v>
      </c>
      <c r="D64" s="103">
        <f>IFERROR(VLOOKUP($B64,MMWR_TRAD_AGG_ST_DISTRICT_COMP[],D$1,0),"ERROR")</f>
        <v>382.12987312569999</v>
      </c>
      <c r="E64" s="102">
        <f>IFERROR(VLOOKUP($B64,MMWR_TRAD_AGG_ST_DISTRICT_COMP[],E$1,0),"ERROR")</f>
        <v>4227</v>
      </c>
      <c r="F64" s="102">
        <f>IFERROR(VLOOKUP($B64,MMWR_TRAD_AGG_ST_DISTRICT_COMP[],F$1,0),"ERROR")</f>
        <v>1688</v>
      </c>
      <c r="G64" s="104">
        <f t="shared" si="4"/>
        <v>0.39933759167258104</v>
      </c>
      <c r="H64" s="102">
        <f>IFERROR(VLOOKUP($B64,MMWR_TRAD_AGG_ST_DISTRICT_COMP[],H$1,0),"ERROR")</f>
        <v>5965</v>
      </c>
      <c r="I64" s="102">
        <f>IFERROR(VLOOKUP($B64,MMWR_TRAD_AGG_ST_DISTRICT_COMP[],I$1,0),"ERROR")</f>
        <v>3922</v>
      </c>
      <c r="J64" s="105">
        <f t="shared" si="5"/>
        <v>0.65750209555741823</v>
      </c>
      <c r="K64" s="102">
        <f>IFERROR(VLOOKUP($B64,MMWR_TRAD_AGG_ST_DISTRICT_COMP[],K$1,0),"ERROR")</f>
        <v>1468</v>
      </c>
      <c r="L64" s="102">
        <f>IFERROR(VLOOKUP($B64,MMWR_TRAD_AGG_ST_DISTRICT_COMP[],L$1,0),"ERROR")</f>
        <v>794</v>
      </c>
      <c r="M64" s="105">
        <f t="shared" si="6"/>
        <v>0.54087193460490468</v>
      </c>
      <c r="N64" s="102">
        <f>IFERROR(VLOOKUP($B64,MMWR_TRAD_AGG_ST_DISTRICT_COMP[],N$1,0),"ERROR")</f>
        <v>1831</v>
      </c>
      <c r="O64" s="102">
        <f>IFERROR(VLOOKUP($B64,MMWR_TRAD_AGG_ST_DISTRICT_COMP[],O$1,0),"ERROR")</f>
        <v>1147</v>
      </c>
      <c r="P64" s="105">
        <f t="shared" si="7"/>
        <v>0.62643364281813219</v>
      </c>
      <c r="Q64" s="102">
        <f>IFERROR(VLOOKUP($B64,MMWR_TRAD_AGG_ST_DISTRICT_COMP[],Q$1,0),"ERROR")</f>
        <v>414</v>
      </c>
      <c r="R64" s="106">
        <f>IFERROR(VLOOKUP($B64,MMWR_TRAD_AGG_ST_DISTRICT_COMP[],R$1,0),"ERROR")</f>
        <v>131</v>
      </c>
      <c r="S64" s="106">
        <f>IFERROR(VLOOKUP($B64,MMWR_APP_STATE_COMP[],S$1,0),"ERROR")</f>
        <v>428</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42" t="s">
        <v>487</v>
      </c>
      <c r="D66" s="443"/>
      <c r="E66" s="443"/>
      <c r="F66" s="443"/>
      <c r="G66" s="443"/>
      <c r="H66" s="443"/>
      <c r="I66" s="443"/>
      <c r="J66" s="443"/>
      <c r="K66" s="443"/>
      <c r="L66" s="443"/>
      <c r="M66" s="443"/>
      <c r="N66" s="443"/>
      <c r="O66" s="443"/>
      <c r="P66" s="443"/>
      <c r="Q66" s="443"/>
      <c r="R66" s="443"/>
      <c r="S66" s="444"/>
      <c r="T66" s="28"/>
    </row>
    <row r="67" spans="1:20" s="123" customFormat="1" x14ac:dyDescent="0.2">
      <c r="A67" s="28"/>
      <c r="B67" s="26"/>
      <c r="C67" s="450" t="s">
        <v>228</v>
      </c>
      <c r="D67" s="450"/>
      <c r="E67" s="447" t="s">
        <v>208</v>
      </c>
      <c r="F67" s="448"/>
      <c r="G67" s="449"/>
      <c r="H67" s="447" t="s">
        <v>7</v>
      </c>
      <c r="I67" s="448"/>
      <c r="J67" s="449"/>
      <c r="K67" s="447" t="s">
        <v>33</v>
      </c>
      <c r="L67" s="448"/>
      <c r="M67" s="449"/>
      <c r="N67" s="447" t="s">
        <v>8</v>
      </c>
      <c r="O67" s="448"/>
      <c r="P67" s="449"/>
      <c r="Q67" s="81" t="s">
        <v>9</v>
      </c>
      <c r="R67" s="82" t="s">
        <v>10</v>
      </c>
      <c r="S67" s="82" t="s">
        <v>11</v>
      </c>
      <c r="T67" s="28"/>
    </row>
    <row r="68" spans="1:20" s="123" customFormat="1" ht="38.25" x14ac:dyDescent="0.2">
      <c r="A68" s="28"/>
      <c r="B68" s="54"/>
      <c r="C68" s="84" t="s">
        <v>12</v>
      </c>
      <c r="D68" s="85" t="s">
        <v>137</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488</v>
      </c>
      <c r="T68" s="28"/>
    </row>
    <row r="69" spans="1:20" s="123" customFormat="1" x14ac:dyDescent="0.2">
      <c r="A69" s="28"/>
      <c r="B69" s="129" t="s">
        <v>462</v>
      </c>
      <c r="C69" s="119">
        <f>IFERROR(VLOOKUP($B69,MMWR_TRAD_AGG_RO_PEN[],C$1,0),"ERROR")</f>
        <v>18585</v>
      </c>
      <c r="D69" s="120">
        <f>IFERROR(VLOOKUP($B69,MMWR_TRAD_AGG_RO_PEN[],D$1,0),"ERROR")</f>
        <v>86.7603443637</v>
      </c>
      <c r="E69" s="119">
        <f>IFERROR(VLOOKUP($B69,MMWR_TRAD_AGG_RO_PEN[],E$1,0),"ERROR")</f>
        <v>33094</v>
      </c>
      <c r="F69" s="119">
        <f>IFERROR(VLOOKUP($B69,MMWR_TRAD_AGG_RO_PEN[],F$1,0),"ERROR")</f>
        <v>4580</v>
      </c>
      <c r="G69" s="98">
        <f t="shared" ref="G69:G100" si="8">IFERROR(F69/E69,"0%")</f>
        <v>0.13839366652565419</v>
      </c>
      <c r="H69" s="119">
        <f>IFERROR(VLOOKUP($B69,MMWR_TRAD_AGG_RO_PEN[],H$1,0),"ERROR")</f>
        <v>27319</v>
      </c>
      <c r="I69" s="119">
        <f>IFERROR(VLOOKUP($B69,MMWR_TRAD_AGG_RO_PEN[],I$1,0),"ERROR")</f>
        <v>6796</v>
      </c>
      <c r="J69" s="98">
        <f t="shared" ref="J69:J100" si="9">IFERROR(I69/H69,"0%")</f>
        <v>0.24876459606867016</v>
      </c>
      <c r="K69" s="119">
        <f>IFERROR(VLOOKUP($B69,MMWR_TRAD_AGG_RO_PEN[],K$1,0),"ERROR")</f>
        <v>612</v>
      </c>
      <c r="L69" s="119">
        <f>IFERROR(VLOOKUP($B69,MMWR_TRAD_AGG_RO_PEN[],L$1,0),"ERROR")</f>
        <v>573</v>
      </c>
      <c r="M69" s="98">
        <f t="shared" ref="M69:M100" si="10">IFERROR(L69/K69,"0%")</f>
        <v>0.93627450980392157</v>
      </c>
      <c r="N69" s="119">
        <f>IFERROR(VLOOKUP($B69,MMWR_TRAD_AGG_RO_PEN[],N$1,0),"ERROR")</f>
        <v>1798</v>
      </c>
      <c r="O69" s="119">
        <f>IFERROR(VLOOKUP($B69,MMWR_TRAD_AGG_RO_PEN[],O$1,0),"ERROR")</f>
        <v>571</v>
      </c>
      <c r="P69" s="98">
        <f t="shared" ref="P69:P100" si="11">IFERROR(O69/N69,"0%")</f>
        <v>0.31757508342602891</v>
      </c>
      <c r="Q69" s="119">
        <f>IFERROR(VLOOKUP($B69,MMWR_TRAD_AGG_RO_PEN[],Q$1,0),"ERROR")</f>
        <v>9330</v>
      </c>
      <c r="R69" s="121">
        <f>IFERROR(VLOOKUP($B69,MMWR_TRAD_AGG_RO_PEN[],R$1,0),"ERROR")</f>
        <v>5800</v>
      </c>
      <c r="S69" s="121">
        <f>S70+S86+S99+S109+S119+S127</f>
        <v>7580</v>
      </c>
      <c r="T69" s="28"/>
    </row>
    <row r="70" spans="1:20" s="123" customFormat="1" x14ac:dyDescent="0.2">
      <c r="A70" s="28"/>
      <c r="B70" s="126" t="s">
        <v>369</v>
      </c>
      <c r="C70" s="102">
        <f>IFERROR(VLOOKUP($B70,MMWR_TRAD_AGG_ST_DISTRICT_PEN[],C$1,0),"ERROR")</f>
        <v>7048</v>
      </c>
      <c r="D70" s="103">
        <f>IFERROR(VLOOKUP($B70,MMWR_TRAD_AGG_ST_DISTRICT_PEN[],D$1,0),"ERROR")</f>
        <v>100.9233825199</v>
      </c>
      <c r="E70" s="102">
        <f>IFERROR(VLOOKUP($B70,MMWR_TRAD_AGG_ST_DISTRICT_PEN[],E$1,0),"ERROR")</f>
        <v>10845</v>
      </c>
      <c r="F70" s="102">
        <f>IFERROR(VLOOKUP($B70,MMWR_TRAD_AGG_ST_DISTRICT_PEN[],F$1,0),"ERROR")</f>
        <v>2195</v>
      </c>
      <c r="G70" s="104">
        <f t="shared" si="8"/>
        <v>0.20239741816505302</v>
      </c>
      <c r="H70" s="102">
        <f>IFERROR(VLOOKUP($B70,MMWR_TRAD_AGG_ST_DISTRICT_PEN[],H$1,0),"ERROR")</f>
        <v>9825</v>
      </c>
      <c r="I70" s="102">
        <f>IFERROR(VLOOKUP($B70,MMWR_TRAD_AGG_ST_DISTRICT_PEN[],I$1,0),"ERROR")</f>
        <v>3332</v>
      </c>
      <c r="J70" s="104">
        <f t="shared" si="9"/>
        <v>0.33913486005089061</v>
      </c>
      <c r="K70" s="102">
        <f>IFERROR(VLOOKUP($B70,MMWR_TRAD_AGG_ST_DISTRICT_PEN[],K$1,0),"ERROR")</f>
        <v>356</v>
      </c>
      <c r="L70" s="102">
        <f>IFERROR(VLOOKUP($B70,MMWR_TRAD_AGG_ST_DISTRICT_PEN[],L$1,0),"ERROR")</f>
        <v>345</v>
      </c>
      <c r="M70" s="104">
        <f t="shared" si="10"/>
        <v>0.9691011235955056</v>
      </c>
      <c r="N70" s="102">
        <f>IFERROR(VLOOKUP($B70,MMWR_TRAD_AGG_ST_DISTRICT_PEN[],N$1,0),"ERROR")</f>
        <v>662</v>
      </c>
      <c r="O70" s="102">
        <f>IFERROR(VLOOKUP($B70,MMWR_TRAD_AGG_ST_DISTRICT_PEN[],O$1,0),"ERROR")</f>
        <v>199</v>
      </c>
      <c r="P70" s="104">
        <f t="shared" si="11"/>
        <v>0.30060422960725075</v>
      </c>
      <c r="Q70" s="102">
        <f>IFERROR(VLOOKUP($B70,MMWR_TRAD_AGG_ST_DISTRICT_PEN[],Q$1,0),"ERROR")</f>
        <v>1239</v>
      </c>
      <c r="R70" s="106">
        <f>IFERROR(VLOOKUP($B70,MMWR_TRAD_AGG_ST_DISTRICT_PEN[],R$1,0),"ERROR")</f>
        <v>2506</v>
      </c>
      <c r="S70" s="106">
        <f>IFERROR(VLOOKUP($B70,MMWR_APP_STATE_PEN[],S$1,0),"ERROR")</f>
        <v>1527</v>
      </c>
      <c r="T70" s="28"/>
    </row>
    <row r="71" spans="1:20" s="123" customFormat="1" x14ac:dyDescent="0.2">
      <c r="A71" s="28"/>
      <c r="B71" s="127" t="s">
        <v>373</v>
      </c>
      <c r="C71" s="109">
        <f>IFERROR(VLOOKUP($B71,MMWR_TRAD_AGG_STATE_PEN[],C$1,0),"ERROR")</f>
        <v>194</v>
      </c>
      <c r="D71" s="110">
        <f>IFERROR(VLOOKUP($B71,MMWR_TRAD_AGG_STATE_PEN[],D$1,0),"ERROR")</f>
        <v>103.9690721649</v>
      </c>
      <c r="E71" s="111">
        <f>IFERROR(VLOOKUP($B71,MMWR_TRAD_AGG_STATE_PEN[],E$1,0),"ERROR")</f>
        <v>400</v>
      </c>
      <c r="F71" s="112">
        <f>IFERROR(VLOOKUP($B71,MMWR_TRAD_AGG_STATE_PEN[],F$1,0),"ERROR")</f>
        <v>94</v>
      </c>
      <c r="G71" s="113">
        <f t="shared" si="8"/>
        <v>0.23499999999999999</v>
      </c>
      <c r="H71" s="111">
        <f>IFERROR(VLOOKUP($B71,MMWR_TRAD_AGG_STATE_PEN[],H$1,0),"ERROR")</f>
        <v>272</v>
      </c>
      <c r="I71" s="112">
        <f>IFERROR(VLOOKUP($B71,MMWR_TRAD_AGG_STATE_PEN[],I$1,0),"ERROR")</f>
        <v>98</v>
      </c>
      <c r="J71" s="114">
        <f t="shared" si="9"/>
        <v>0.36029411764705882</v>
      </c>
      <c r="K71" s="111">
        <f>IFERROR(VLOOKUP($B71,MMWR_TRAD_AGG_STATE_PEN[],K$1,0),"ERROR")</f>
        <v>4</v>
      </c>
      <c r="L71" s="112">
        <f>IFERROR(VLOOKUP($B71,MMWR_TRAD_AGG_STATE_PEN[],L$1,0),"ERROR")</f>
        <v>4</v>
      </c>
      <c r="M71" s="114">
        <f t="shared" si="10"/>
        <v>1</v>
      </c>
      <c r="N71" s="111">
        <f>IFERROR(VLOOKUP($B71,MMWR_TRAD_AGG_STATE_PEN[],N$1,0),"ERROR")</f>
        <v>22</v>
      </c>
      <c r="O71" s="112">
        <f>IFERROR(VLOOKUP($B71,MMWR_TRAD_AGG_STATE_PEN[],O$1,0),"ERROR")</f>
        <v>5</v>
      </c>
      <c r="P71" s="114">
        <f t="shared" si="11"/>
        <v>0.22727272727272727</v>
      </c>
      <c r="Q71" s="115">
        <f>IFERROR(VLOOKUP($B71,MMWR_TRAD_AGG_STATE_PEN[],Q$1,0),"ERROR")</f>
        <v>29</v>
      </c>
      <c r="R71" s="115">
        <f>IFERROR(VLOOKUP($B71,MMWR_TRAD_AGG_STATE_PEN[],R$1,0),"ERROR")</f>
        <v>73</v>
      </c>
      <c r="S71" s="115">
        <f>IFERROR(VLOOKUP($B71,MMWR_APP_STATE_PEN[],S$1,0),"ERROR")</f>
        <v>54</v>
      </c>
      <c r="T71" s="28"/>
    </row>
    <row r="72" spans="1:20" s="123" customFormat="1" x14ac:dyDescent="0.2">
      <c r="A72" s="28"/>
      <c r="B72" s="127" t="s">
        <v>423</v>
      </c>
      <c r="C72" s="109">
        <f>IFERROR(VLOOKUP($B72,MMWR_TRAD_AGG_STATE_PEN[],C$1,0),"ERROR")</f>
        <v>55</v>
      </c>
      <c r="D72" s="110">
        <f>IFERROR(VLOOKUP($B72,MMWR_TRAD_AGG_STATE_PEN[],D$1,0),"ERROR")</f>
        <v>102.8181818182</v>
      </c>
      <c r="E72" s="111">
        <f>IFERROR(VLOOKUP($B72,MMWR_TRAD_AGG_STATE_PEN[],E$1,0),"ERROR")</f>
        <v>112</v>
      </c>
      <c r="F72" s="112">
        <f>IFERROR(VLOOKUP($B72,MMWR_TRAD_AGG_STATE_PEN[],F$1,0),"ERROR")</f>
        <v>17</v>
      </c>
      <c r="G72" s="113">
        <f t="shared" si="8"/>
        <v>0.15178571428571427</v>
      </c>
      <c r="H72" s="111">
        <f>IFERROR(VLOOKUP($B72,MMWR_TRAD_AGG_STATE_PEN[],H$1,0),"ERROR")</f>
        <v>82</v>
      </c>
      <c r="I72" s="112">
        <f>IFERROR(VLOOKUP($B72,MMWR_TRAD_AGG_STATE_PEN[],I$1,0),"ERROR")</f>
        <v>27</v>
      </c>
      <c r="J72" s="114">
        <f t="shared" si="9"/>
        <v>0.32926829268292684</v>
      </c>
      <c r="K72" s="111">
        <f>IFERROR(VLOOKUP($B72,MMWR_TRAD_AGG_STATE_PEN[],K$1,0),"ERROR")</f>
        <v>5</v>
      </c>
      <c r="L72" s="112">
        <f>IFERROR(VLOOKUP($B72,MMWR_TRAD_AGG_STATE_PEN[],L$1,0),"ERROR")</f>
        <v>4</v>
      </c>
      <c r="M72" s="114">
        <f t="shared" si="10"/>
        <v>0.8</v>
      </c>
      <c r="N72" s="111">
        <f>IFERROR(VLOOKUP($B72,MMWR_TRAD_AGG_STATE_PEN[],N$1,0),"ERROR")</f>
        <v>10</v>
      </c>
      <c r="O72" s="112">
        <f>IFERROR(VLOOKUP($B72,MMWR_TRAD_AGG_STATE_PEN[],O$1,0),"ERROR")</f>
        <v>3</v>
      </c>
      <c r="P72" s="114">
        <f t="shared" si="11"/>
        <v>0.3</v>
      </c>
      <c r="Q72" s="115">
        <f>IFERROR(VLOOKUP($B72,MMWR_TRAD_AGG_STATE_PEN[],Q$1,0),"ERROR")</f>
        <v>15</v>
      </c>
      <c r="R72" s="115">
        <f>IFERROR(VLOOKUP($B72,MMWR_TRAD_AGG_STATE_PEN[],R$1,0),"ERROR")</f>
        <v>31</v>
      </c>
      <c r="S72" s="115">
        <f>IFERROR(VLOOKUP($B72,MMWR_APP_STATE_PEN[],S$1,0),"ERROR")</f>
        <v>19</v>
      </c>
      <c r="T72" s="28"/>
    </row>
    <row r="73" spans="1:20" s="123" customFormat="1" x14ac:dyDescent="0.2">
      <c r="A73" s="28"/>
      <c r="B73" s="127" t="s">
        <v>414</v>
      </c>
      <c r="C73" s="109">
        <f>IFERROR(VLOOKUP($B73,MMWR_TRAD_AGG_STATE_PEN[],C$1,0),"ERROR")</f>
        <v>48</v>
      </c>
      <c r="D73" s="110">
        <f>IFERROR(VLOOKUP($B73,MMWR_TRAD_AGG_STATE_PEN[],D$1,0),"ERROR")</f>
        <v>105.2708333333</v>
      </c>
      <c r="E73" s="111">
        <f>IFERROR(VLOOKUP($B73,MMWR_TRAD_AGG_STATE_PEN[],E$1,0),"ERROR")</f>
        <v>68</v>
      </c>
      <c r="F73" s="112">
        <f>IFERROR(VLOOKUP($B73,MMWR_TRAD_AGG_STATE_PEN[],F$1,0),"ERROR")</f>
        <v>8</v>
      </c>
      <c r="G73" s="113">
        <f t="shared" si="8"/>
        <v>0.11764705882352941</v>
      </c>
      <c r="H73" s="111">
        <f>IFERROR(VLOOKUP($B73,MMWR_TRAD_AGG_STATE_PEN[],H$1,0),"ERROR")</f>
        <v>62</v>
      </c>
      <c r="I73" s="112">
        <f>IFERROR(VLOOKUP($B73,MMWR_TRAD_AGG_STATE_PEN[],I$1,0),"ERROR")</f>
        <v>25</v>
      </c>
      <c r="J73" s="114">
        <f t="shared" si="9"/>
        <v>0.40322580645161288</v>
      </c>
      <c r="K73" s="111">
        <f>IFERROR(VLOOKUP($B73,MMWR_TRAD_AGG_STATE_PEN[],K$1,0),"ERROR")</f>
        <v>4</v>
      </c>
      <c r="L73" s="112">
        <f>IFERROR(VLOOKUP($B73,MMWR_TRAD_AGG_STATE_PEN[],L$1,0),"ERROR")</f>
        <v>4</v>
      </c>
      <c r="M73" s="114">
        <f t="shared" si="10"/>
        <v>1</v>
      </c>
      <c r="N73" s="111">
        <f>IFERROR(VLOOKUP($B73,MMWR_TRAD_AGG_STATE_PEN[],N$1,0),"ERROR")</f>
        <v>4</v>
      </c>
      <c r="O73" s="112">
        <f>IFERROR(VLOOKUP($B73,MMWR_TRAD_AGG_STATE_PEN[],O$1,0),"ERROR")</f>
        <v>2</v>
      </c>
      <c r="P73" s="114">
        <f t="shared" si="11"/>
        <v>0.5</v>
      </c>
      <c r="Q73" s="115">
        <f>IFERROR(VLOOKUP($B73,MMWR_TRAD_AGG_STATE_PEN[],Q$1,0),"ERROR")</f>
        <v>15</v>
      </c>
      <c r="R73" s="115">
        <f>IFERROR(VLOOKUP($B73,MMWR_TRAD_AGG_STATE_PEN[],R$1,0),"ERROR")</f>
        <v>17</v>
      </c>
      <c r="S73" s="115">
        <f>IFERROR(VLOOKUP($B73,MMWR_APP_STATE_PEN[],S$1,0),"ERROR")</f>
        <v>16</v>
      </c>
      <c r="T73" s="28"/>
    </row>
    <row r="74" spans="1:20" s="123" customFormat="1" x14ac:dyDescent="0.2">
      <c r="A74" s="28"/>
      <c r="B74" s="127" t="s">
        <v>416</v>
      </c>
      <c r="C74" s="109">
        <f>IFERROR(VLOOKUP($B74,MMWR_TRAD_AGG_STATE_PEN[],C$1,0),"ERROR")</f>
        <v>147</v>
      </c>
      <c r="D74" s="110">
        <f>IFERROR(VLOOKUP($B74,MMWR_TRAD_AGG_STATE_PEN[],D$1,0),"ERROR")</f>
        <v>99.435374149699996</v>
      </c>
      <c r="E74" s="111">
        <f>IFERROR(VLOOKUP($B74,MMWR_TRAD_AGG_STATE_PEN[],E$1,0),"ERROR")</f>
        <v>144</v>
      </c>
      <c r="F74" s="112">
        <f>IFERROR(VLOOKUP($B74,MMWR_TRAD_AGG_STATE_PEN[],F$1,0),"ERROR")</f>
        <v>36</v>
      </c>
      <c r="G74" s="113">
        <f t="shared" si="8"/>
        <v>0.25</v>
      </c>
      <c r="H74" s="111">
        <f>IFERROR(VLOOKUP($B74,MMWR_TRAD_AGG_STATE_PEN[],H$1,0),"ERROR")</f>
        <v>188</v>
      </c>
      <c r="I74" s="112">
        <f>IFERROR(VLOOKUP($B74,MMWR_TRAD_AGG_STATE_PEN[],I$1,0),"ERROR")</f>
        <v>65</v>
      </c>
      <c r="J74" s="114">
        <f t="shared" si="9"/>
        <v>0.34574468085106386</v>
      </c>
      <c r="K74" s="111">
        <f>IFERROR(VLOOKUP($B74,MMWR_TRAD_AGG_STATE_PEN[],K$1,0),"ERROR")</f>
        <v>4</v>
      </c>
      <c r="L74" s="112">
        <f>IFERROR(VLOOKUP($B74,MMWR_TRAD_AGG_STATE_PEN[],L$1,0),"ERROR")</f>
        <v>4</v>
      </c>
      <c r="M74" s="114">
        <f t="shared" si="10"/>
        <v>1</v>
      </c>
      <c r="N74" s="111">
        <f>IFERROR(VLOOKUP($B74,MMWR_TRAD_AGG_STATE_PEN[],N$1,0),"ERROR")</f>
        <v>17</v>
      </c>
      <c r="O74" s="112">
        <f>IFERROR(VLOOKUP($B74,MMWR_TRAD_AGG_STATE_PEN[],O$1,0),"ERROR")</f>
        <v>2</v>
      </c>
      <c r="P74" s="114">
        <f t="shared" si="11"/>
        <v>0.11764705882352941</v>
      </c>
      <c r="Q74" s="115">
        <f>IFERROR(VLOOKUP($B74,MMWR_TRAD_AGG_STATE_PEN[],Q$1,0),"ERROR")</f>
        <v>29</v>
      </c>
      <c r="R74" s="115">
        <f>IFERROR(VLOOKUP($B74,MMWR_TRAD_AGG_STATE_PEN[],R$1,0),"ERROR")</f>
        <v>34</v>
      </c>
      <c r="S74" s="115">
        <f>IFERROR(VLOOKUP($B74,MMWR_APP_STATE_PEN[],S$1,0),"ERROR")</f>
        <v>25</v>
      </c>
      <c r="T74" s="28"/>
    </row>
    <row r="75" spans="1:20" s="123" customFormat="1" x14ac:dyDescent="0.2">
      <c r="A75" s="28"/>
      <c r="B75" s="127" t="s">
        <v>376</v>
      </c>
      <c r="C75" s="109">
        <f>IFERROR(VLOOKUP($B75,MMWR_TRAD_AGG_STATE_PEN[],C$1,0),"ERROR")</f>
        <v>376</v>
      </c>
      <c r="D75" s="110">
        <f>IFERROR(VLOOKUP($B75,MMWR_TRAD_AGG_STATE_PEN[],D$1,0),"ERROR")</f>
        <v>96.021276595700002</v>
      </c>
      <c r="E75" s="111">
        <f>IFERROR(VLOOKUP($B75,MMWR_TRAD_AGG_STATE_PEN[],E$1,0),"ERROR")</f>
        <v>654</v>
      </c>
      <c r="F75" s="112">
        <f>IFERROR(VLOOKUP($B75,MMWR_TRAD_AGG_STATE_PEN[],F$1,0),"ERROR")</f>
        <v>126</v>
      </c>
      <c r="G75" s="113">
        <f t="shared" si="8"/>
        <v>0.19266055045871561</v>
      </c>
      <c r="H75" s="111">
        <f>IFERROR(VLOOKUP($B75,MMWR_TRAD_AGG_STATE_PEN[],H$1,0),"ERROR")</f>
        <v>507</v>
      </c>
      <c r="I75" s="112">
        <f>IFERROR(VLOOKUP($B75,MMWR_TRAD_AGG_STATE_PEN[],I$1,0),"ERROR")</f>
        <v>163</v>
      </c>
      <c r="J75" s="114">
        <f t="shared" si="9"/>
        <v>0.32149901380670609</v>
      </c>
      <c r="K75" s="111">
        <f>IFERROR(VLOOKUP($B75,MMWR_TRAD_AGG_STATE_PEN[],K$1,0),"ERROR")</f>
        <v>18</v>
      </c>
      <c r="L75" s="112">
        <f>IFERROR(VLOOKUP($B75,MMWR_TRAD_AGG_STATE_PEN[],L$1,0),"ERROR")</f>
        <v>16</v>
      </c>
      <c r="M75" s="114">
        <f t="shared" si="10"/>
        <v>0.88888888888888884</v>
      </c>
      <c r="N75" s="111">
        <f>IFERROR(VLOOKUP($B75,MMWR_TRAD_AGG_STATE_PEN[],N$1,0),"ERROR")</f>
        <v>49</v>
      </c>
      <c r="O75" s="112">
        <f>IFERROR(VLOOKUP($B75,MMWR_TRAD_AGG_STATE_PEN[],O$1,0),"ERROR")</f>
        <v>16</v>
      </c>
      <c r="P75" s="114">
        <f t="shared" si="11"/>
        <v>0.32653061224489793</v>
      </c>
      <c r="Q75" s="115">
        <f>IFERROR(VLOOKUP($B75,MMWR_TRAD_AGG_STATE_PEN[],Q$1,0),"ERROR")</f>
        <v>80</v>
      </c>
      <c r="R75" s="115">
        <f>IFERROR(VLOOKUP($B75,MMWR_TRAD_AGG_STATE_PEN[],R$1,0),"ERROR")</f>
        <v>172</v>
      </c>
      <c r="S75" s="115">
        <f>IFERROR(VLOOKUP($B75,MMWR_APP_STATE_PEN[],S$1,0),"ERROR")</f>
        <v>91</v>
      </c>
      <c r="T75" s="28"/>
    </row>
    <row r="76" spans="1:20" s="123" customFormat="1" x14ac:dyDescent="0.2">
      <c r="A76" s="28"/>
      <c r="B76" s="127" t="s">
        <v>371</v>
      </c>
      <c r="C76" s="109">
        <f>IFERROR(VLOOKUP($B76,MMWR_TRAD_AGG_STATE_PEN[],C$1,0),"ERROR")</f>
        <v>398</v>
      </c>
      <c r="D76" s="110">
        <f>IFERROR(VLOOKUP($B76,MMWR_TRAD_AGG_STATE_PEN[],D$1,0),"ERROR")</f>
        <v>97.5</v>
      </c>
      <c r="E76" s="111">
        <f>IFERROR(VLOOKUP($B76,MMWR_TRAD_AGG_STATE_PEN[],E$1,0),"ERROR")</f>
        <v>626</v>
      </c>
      <c r="F76" s="112">
        <f>IFERROR(VLOOKUP($B76,MMWR_TRAD_AGG_STATE_PEN[],F$1,0),"ERROR")</f>
        <v>129</v>
      </c>
      <c r="G76" s="113">
        <f t="shared" si="8"/>
        <v>0.20607028753993611</v>
      </c>
      <c r="H76" s="111">
        <f>IFERROR(VLOOKUP($B76,MMWR_TRAD_AGG_STATE_PEN[],H$1,0),"ERROR")</f>
        <v>548</v>
      </c>
      <c r="I76" s="112">
        <f>IFERROR(VLOOKUP($B76,MMWR_TRAD_AGG_STATE_PEN[],I$1,0),"ERROR")</f>
        <v>195</v>
      </c>
      <c r="J76" s="114">
        <f t="shared" si="9"/>
        <v>0.35583941605839414</v>
      </c>
      <c r="K76" s="111">
        <f>IFERROR(VLOOKUP($B76,MMWR_TRAD_AGG_STATE_PEN[],K$1,0),"ERROR")</f>
        <v>10</v>
      </c>
      <c r="L76" s="112">
        <f>IFERROR(VLOOKUP($B76,MMWR_TRAD_AGG_STATE_PEN[],L$1,0),"ERROR")</f>
        <v>10</v>
      </c>
      <c r="M76" s="114">
        <f t="shared" si="10"/>
        <v>1</v>
      </c>
      <c r="N76" s="111">
        <f>IFERROR(VLOOKUP($B76,MMWR_TRAD_AGG_STATE_PEN[],N$1,0),"ERROR")</f>
        <v>44</v>
      </c>
      <c r="O76" s="112">
        <f>IFERROR(VLOOKUP($B76,MMWR_TRAD_AGG_STATE_PEN[],O$1,0),"ERROR")</f>
        <v>13</v>
      </c>
      <c r="P76" s="114">
        <f t="shared" si="11"/>
        <v>0.29545454545454547</v>
      </c>
      <c r="Q76" s="115">
        <f>IFERROR(VLOOKUP($B76,MMWR_TRAD_AGG_STATE_PEN[],Q$1,0),"ERROR")</f>
        <v>57</v>
      </c>
      <c r="R76" s="115">
        <f>IFERROR(VLOOKUP($B76,MMWR_TRAD_AGG_STATE_PEN[],R$1,0),"ERROR")</f>
        <v>176</v>
      </c>
      <c r="S76" s="115">
        <f>IFERROR(VLOOKUP($B76,MMWR_APP_STATE_PEN[],S$1,0),"ERROR")</f>
        <v>116</v>
      </c>
      <c r="T76" s="28"/>
    </row>
    <row r="77" spans="1:20" s="123" customFormat="1" x14ac:dyDescent="0.2">
      <c r="A77" s="28"/>
      <c r="B77" s="127" t="s">
        <v>415</v>
      </c>
      <c r="C77" s="109">
        <f>IFERROR(VLOOKUP($B77,MMWR_TRAD_AGG_STATE_PEN[],C$1,0),"ERROR")</f>
        <v>115</v>
      </c>
      <c r="D77" s="110">
        <f>IFERROR(VLOOKUP($B77,MMWR_TRAD_AGG_STATE_PEN[],D$1,0),"ERROR")</f>
        <v>95.513043478300006</v>
      </c>
      <c r="E77" s="111">
        <f>IFERROR(VLOOKUP($B77,MMWR_TRAD_AGG_STATE_PEN[],E$1,0),"ERROR")</f>
        <v>152</v>
      </c>
      <c r="F77" s="112">
        <f>IFERROR(VLOOKUP($B77,MMWR_TRAD_AGG_STATE_PEN[],F$1,0),"ERROR")</f>
        <v>34</v>
      </c>
      <c r="G77" s="113">
        <f t="shared" si="8"/>
        <v>0.22368421052631579</v>
      </c>
      <c r="H77" s="111">
        <f>IFERROR(VLOOKUP($B77,MMWR_TRAD_AGG_STATE_PEN[],H$1,0),"ERROR")</f>
        <v>157</v>
      </c>
      <c r="I77" s="112">
        <f>IFERROR(VLOOKUP($B77,MMWR_TRAD_AGG_STATE_PEN[],I$1,0),"ERROR")</f>
        <v>54</v>
      </c>
      <c r="J77" s="114">
        <f t="shared" si="9"/>
        <v>0.34394904458598724</v>
      </c>
      <c r="K77" s="111">
        <f>IFERROR(VLOOKUP($B77,MMWR_TRAD_AGG_STATE_PEN[],K$1,0),"ERROR")</f>
        <v>2</v>
      </c>
      <c r="L77" s="112">
        <f>IFERROR(VLOOKUP($B77,MMWR_TRAD_AGG_STATE_PEN[],L$1,0),"ERROR")</f>
        <v>2</v>
      </c>
      <c r="M77" s="114">
        <f t="shared" si="10"/>
        <v>1</v>
      </c>
      <c r="N77" s="111">
        <f>IFERROR(VLOOKUP($B77,MMWR_TRAD_AGG_STATE_PEN[],N$1,0),"ERROR")</f>
        <v>15</v>
      </c>
      <c r="O77" s="112">
        <f>IFERROR(VLOOKUP($B77,MMWR_TRAD_AGG_STATE_PEN[],O$1,0),"ERROR")</f>
        <v>4</v>
      </c>
      <c r="P77" s="114">
        <f t="shared" si="11"/>
        <v>0.26666666666666666</v>
      </c>
      <c r="Q77" s="115">
        <f>IFERROR(VLOOKUP($B77,MMWR_TRAD_AGG_STATE_PEN[],Q$1,0),"ERROR")</f>
        <v>14</v>
      </c>
      <c r="R77" s="115">
        <f>IFERROR(VLOOKUP($B77,MMWR_TRAD_AGG_STATE_PEN[],R$1,0),"ERROR")</f>
        <v>38</v>
      </c>
      <c r="S77" s="115">
        <f>IFERROR(VLOOKUP($B77,MMWR_APP_STATE_PEN[],S$1,0),"ERROR")</f>
        <v>12</v>
      </c>
      <c r="T77" s="28"/>
    </row>
    <row r="78" spans="1:20" s="123" customFormat="1" x14ac:dyDescent="0.2">
      <c r="A78" s="28"/>
      <c r="B78" s="127" t="s">
        <v>374</v>
      </c>
      <c r="C78" s="109">
        <f>IFERROR(VLOOKUP($B78,MMWR_TRAD_AGG_STATE_PEN[],C$1,0),"ERROR")</f>
        <v>477</v>
      </c>
      <c r="D78" s="110">
        <f>IFERROR(VLOOKUP($B78,MMWR_TRAD_AGG_STATE_PEN[],D$1,0),"ERROR")</f>
        <v>101.429769392</v>
      </c>
      <c r="E78" s="111">
        <f>IFERROR(VLOOKUP($B78,MMWR_TRAD_AGG_STATE_PEN[],E$1,0),"ERROR")</f>
        <v>790</v>
      </c>
      <c r="F78" s="112">
        <f>IFERROR(VLOOKUP($B78,MMWR_TRAD_AGG_STATE_PEN[],F$1,0),"ERROR")</f>
        <v>164</v>
      </c>
      <c r="G78" s="113">
        <f t="shared" si="8"/>
        <v>0.20759493670886076</v>
      </c>
      <c r="H78" s="111">
        <f>IFERROR(VLOOKUP($B78,MMWR_TRAD_AGG_STATE_PEN[],H$1,0),"ERROR")</f>
        <v>626</v>
      </c>
      <c r="I78" s="112">
        <f>IFERROR(VLOOKUP($B78,MMWR_TRAD_AGG_STATE_PEN[],I$1,0),"ERROR")</f>
        <v>224</v>
      </c>
      <c r="J78" s="114">
        <f t="shared" si="9"/>
        <v>0.35782747603833864</v>
      </c>
      <c r="K78" s="111">
        <f>IFERROR(VLOOKUP($B78,MMWR_TRAD_AGG_STATE_PEN[],K$1,0),"ERROR")</f>
        <v>12</v>
      </c>
      <c r="L78" s="112">
        <f>IFERROR(VLOOKUP($B78,MMWR_TRAD_AGG_STATE_PEN[],L$1,0),"ERROR")</f>
        <v>12</v>
      </c>
      <c r="M78" s="114">
        <f t="shared" si="10"/>
        <v>1</v>
      </c>
      <c r="N78" s="111">
        <f>IFERROR(VLOOKUP($B78,MMWR_TRAD_AGG_STATE_PEN[],N$1,0),"ERROR")</f>
        <v>39</v>
      </c>
      <c r="O78" s="112">
        <f>IFERROR(VLOOKUP($B78,MMWR_TRAD_AGG_STATE_PEN[],O$1,0),"ERROR")</f>
        <v>5</v>
      </c>
      <c r="P78" s="114">
        <f t="shared" si="11"/>
        <v>0.12820512820512819</v>
      </c>
      <c r="Q78" s="115">
        <f>IFERROR(VLOOKUP($B78,MMWR_TRAD_AGG_STATE_PEN[],Q$1,0),"ERROR")</f>
        <v>80</v>
      </c>
      <c r="R78" s="115">
        <f>IFERROR(VLOOKUP($B78,MMWR_TRAD_AGG_STATE_PEN[],R$1,0),"ERROR")</f>
        <v>203</v>
      </c>
      <c r="S78" s="115">
        <f>IFERROR(VLOOKUP($B78,MMWR_APP_STATE_PEN[],S$1,0),"ERROR")</f>
        <v>183</v>
      </c>
      <c r="T78" s="28"/>
    </row>
    <row r="79" spans="1:20" s="123" customFormat="1" x14ac:dyDescent="0.2">
      <c r="A79" s="28"/>
      <c r="B79" s="127" t="s">
        <v>63</v>
      </c>
      <c r="C79" s="109">
        <f>IFERROR(VLOOKUP($B79,MMWR_TRAD_AGG_STATE_PEN[],C$1,0),"ERROR")</f>
        <v>1209</v>
      </c>
      <c r="D79" s="110">
        <f>IFERROR(VLOOKUP($B79,MMWR_TRAD_AGG_STATE_PEN[],D$1,0),"ERROR")</f>
        <v>100.6104218362</v>
      </c>
      <c r="E79" s="111">
        <f>IFERROR(VLOOKUP($B79,MMWR_TRAD_AGG_STATE_PEN[],E$1,0),"ERROR")</f>
        <v>2308</v>
      </c>
      <c r="F79" s="112">
        <f>IFERROR(VLOOKUP($B79,MMWR_TRAD_AGG_STATE_PEN[],F$1,0),"ERROR")</f>
        <v>480</v>
      </c>
      <c r="G79" s="113">
        <f t="shared" si="8"/>
        <v>0.20797227036395147</v>
      </c>
      <c r="H79" s="111">
        <f>IFERROR(VLOOKUP($B79,MMWR_TRAD_AGG_STATE_PEN[],H$1,0),"ERROR")</f>
        <v>1732</v>
      </c>
      <c r="I79" s="112">
        <f>IFERROR(VLOOKUP($B79,MMWR_TRAD_AGG_STATE_PEN[],I$1,0),"ERROR")</f>
        <v>582</v>
      </c>
      <c r="J79" s="114">
        <f t="shared" si="9"/>
        <v>0.33602771362586603</v>
      </c>
      <c r="K79" s="111">
        <f>IFERROR(VLOOKUP($B79,MMWR_TRAD_AGG_STATE_PEN[],K$1,0),"ERROR")</f>
        <v>42</v>
      </c>
      <c r="L79" s="112">
        <f>IFERROR(VLOOKUP($B79,MMWR_TRAD_AGG_STATE_PEN[],L$1,0),"ERROR")</f>
        <v>41</v>
      </c>
      <c r="M79" s="114">
        <f t="shared" si="10"/>
        <v>0.97619047619047616</v>
      </c>
      <c r="N79" s="111">
        <f>IFERROR(VLOOKUP($B79,MMWR_TRAD_AGG_STATE_PEN[],N$1,0),"ERROR")</f>
        <v>92</v>
      </c>
      <c r="O79" s="112">
        <f>IFERROR(VLOOKUP($B79,MMWR_TRAD_AGG_STATE_PEN[],O$1,0),"ERROR")</f>
        <v>34</v>
      </c>
      <c r="P79" s="114">
        <f t="shared" si="11"/>
        <v>0.36956521739130432</v>
      </c>
      <c r="Q79" s="115">
        <f>IFERROR(VLOOKUP($B79,MMWR_TRAD_AGG_STATE_PEN[],Q$1,0),"ERROR")</f>
        <v>181</v>
      </c>
      <c r="R79" s="115">
        <f>IFERROR(VLOOKUP($B79,MMWR_TRAD_AGG_STATE_PEN[],R$1,0),"ERROR")</f>
        <v>390</v>
      </c>
      <c r="S79" s="115">
        <f>IFERROR(VLOOKUP($B79,MMWR_APP_STATE_PEN[],S$1,0),"ERROR")</f>
        <v>260</v>
      </c>
      <c r="T79" s="28"/>
    </row>
    <row r="80" spans="1:20" s="123" customFormat="1" x14ac:dyDescent="0.2">
      <c r="A80" s="28"/>
      <c r="B80" s="127" t="s">
        <v>382</v>
      </c>
      <c r="C80" s="109">
        <f>IFERROR(VLOOKUP($B80,MMWR_TRAD_AGG_STATE_PEN[],C$1,0),"ERROR")</f>
        <v>1279</v>
      </c>
      <c r="D80" s="110">
        <f>IFERROR(VLOOKUP($B80,MMWR_TRAD_AGG_STATE_PEN[],D$1,0),"ERROR")</f>
        <v>103.4308053167</v>
      </c>
      <c r="E80" s="111">
        <f>IFERROR(VLOOKUP($B80,MMWR_TRAD_AGG_STATE_PEN[],E$1,0),"ERROR")</f>
        <v>1538</v>
      </c>
      <c r="F80" s="112">
        <f>IFERROR(VLOOKUP($B80,MMWR_TRAD_AGG_STATE_PEN[],F$1,0),"ERROR")</f>
        <v>312</v>
      </c>
      <c r="G80" s="113">
        <f t="shared" si="8"/>
        <v>0.20286085825747724</v>
      </c>
      <c r="H80" s="111">
        <f>IFERROR(VLOOKUP($B80,MMWR_TRAD_AGG_STATE_PEN[],H$1,0),"ERROR")</f>
        <v>1798</v>
      </c>
      <c r="I80" s="112">
        <f>IFERROR(VLOOKUP($B80,MMWR_TRAD_AGG_STATE_PEN[],I$1,0),"ERROR")</f>
        <v>584</v>
      </c>
      <c r="J80" s="114">
        <f t="shared" si="9"/>
        <v>0.32480533926585092</v>
      </c>
      <c r="K80" s="111">
        <f>IFERROR(VLOOKUP($B80,MMWR_TRAD_AGG_STATE_PEN[],K$1,0),"ERROR")</f>
        <v>52</v>
      </c>
      <c r="L80" s="112">
        <f>IFERROR(VLOOKUP($B80,MMWR_TRAD_AGG_STATE_PEN[],L$1,0),"ERROR")</f>
        <v>49</v>
      </c>
      <c r="M80" s="114">
        <f t="shared" si="10"/>
        <v>0.94230769230769229</v>
      </c>
      <c r="N80" s="111">
        <f>IFERROR(VLOOKUP($B80,MMWR_TRAD_AGG_STATE_PEN[],N$1,0),"ERROR")</f>
        <v>127</v>
      </c>
      <c r="O80" s="112">
        <f>IFERROR(VLOOKUP($B80,MMWR_TRAD_AGG_STATE_PEN[],O$1,0),"ERROR")</f>
        <v>42</v>
      </c>
      <c r="P80" s="114">
        <f t="shared" si="11"/>
        <v>0.33070866141732286</v>
      </c>
      <c r="Q80" s="115">
        <f>IFERROR(VLOOKUP($B80,MMWR_TRAD_AGG_STATE_PEN[],Q$1,0),"ERROR")</f>
        <v>306</v>
      </c>
      <c r="R80" s="115">
        <f>IFERROR(VLOOKUP($B80,MMWR_TRAD_AGG_STATE_PEN[],R$1,0),"ERROR")</f>
        <v>465</v>
      </c>
      <c r="S80" s="115">
        <f>IFERROR(VLOOKUP($B80,MMWR_APP_STATE_PEN[],S$1,0),"ERROR")</f>
        <v>227</v>
      </c>
      <c r="T80" s="28"/>
    </row>
    <row r="81" spans="1:20" s="123" customFormat="1" x14ac:dyDescent="0.2">
      <c r="A81" s="28"/>
      <c r="B81" s="127" t="s">
        <v>375</v>
      </c>
      <c r="C81" s="109">
        <f>IFERROR(VLOOKUP($B81,MMWR_TRAD_AGG_STATE_PEN[],C$1,0),"ERROR")</f>
        <v>1592</v>
      </c>
      <c r="D81" s="110">
        <f>IFERROR(VLOOKUP($B81,MMWR_TRAD_AGG_STATE_PEN[],D$1,0),"ERROR")</f>
        <v>101.739321608</v>
      </c>
      <c r="E81" s="111">
        <f>IFERROR(VLOOKUP($B81,MMWR_TRAD_AGG_STATE_PEN[],E$1,0),"ERROR")</f>
        <v>2675</v>
      </c>
      <c r="F81" s="112">
        <f>IFERROR(VLOOKUP($B81,MMWR_TRAD_AGG_STATE_PEN[],F$1,0),"ERROR")</f>
        <v>521</v>
      </c>
      <c r="G81" s="113">
        <f t="shared" si="8"/>
        <v>0.19476635514018692</v>
      </c>
      <c r="H81" s="111">
        <f>IFERROR(VLOOKUP($B81,MMWR_TRAD_AGG_STATE_PEN[],H$1,0),"ERROR")</f>
        <v>2285</v>
      </c>
      <c r="I81" s="112">
        <f>IFERROR(VLOOKUP($B81,MMWR_TRAD_AGG_STATE_PEN[],I$1,0),"ERROR")</f>
        <v>800</v>
      </c>
      <c r="J81" s="114">
        <f t="shared" si="9"/>
        <v>0.35010940919037198</v>
      </c>
      <c r="K81" s="111">
        <f>IFERROR(VLOOKUP($B81,MMWR_TRAD_AGG_STATE_PEN[],K$1,0),"ERROR")</f>
        <v>42</v>
      </c>
      <c r="L81" s="112">
        <f>IFERROR(VLOOKUP($B81,MMWR_TRAD_AGG_STATE_PEN[],L$1,0),"ERROR")</f>
        <v>39</v>
      </c>
      <c r="M81" s="114">
        <f t="shared" si="10"/>
        <v>0.9285714285714286</v>
      </c>
      <c r="N81" s="111">
        <f>IFERROR(VLOOKUP($B81,MMWR_TRAD_AGG_STATE_PEN[],N$1,0),"ERROR")</f>
        <v>141</v>
      </c>
      <c r="O81" s="112">
        <f>IFERROR(VLOOKUP($B81,MMWR_TRAD_AGG_STATE_PEN[],O$1,0),"ERROR")</f>
        <v>31</v>
      </c>
      <c r="P81" s="114">
        <f t="shared" si="11"/>
        <v>0.21985815602836881</v>
      </c>
      <c r="Q81" s="115">
        <f>IFERROR(VLOOKUP($B81,MMWR_TRAD_AGG_STATE_PEN[],Q$1,0),"ERROR")</f>
        <v>183</v>
      </c>
      <c r="R81" s="115">
        <f>IFERROR(VLOOKUP($B81,MMWR_TRAD_AGG_STATE_PEN[],R$1,0),"ERROR")</f>
        <v>473</v>
      </c>
      <c r="S81" s="115">
        <f>IFERROR(VLOOKUP($B81,MMWR_APP_STATE_PEN[],S$1,0),"ERROR")</f>
        <v>271</v>
      </c>
      <c r="T81" s="28"/>
    </row>
    <row r="82" spans="1:20" s="123" customFormat="1" x14ac:dyDescent="0.2">
      <c r="A82" s="28"/>
      <c r="B82" s="127" t="s">
        <v>372</v>
      </c>
      <c r="C82" s="109">
        <f>IFERROR(VLOOKUP($B82,MMWR_TRAD_AGG_STATE_PEN[],C$1,0),"ERROR")</f>
        <v>92</v>
      </c>
      <c r="D82" s="110">
        <f>IFERROR(VLOOKUP($B82,MMWR_TRAD_AGG_STATE_PEN[],D$1,0),"ERROR")</f>
        <v>79.934782608700004</v>
      </c>
      <c r="E82" s="111">
        <f>IFERROR(VLOOKUP($B82,MMWR_TRAD_AGG_STATE_PEN[],E$1,0),"ERROR")</f>
        <v>172</v>
      </c>
      <c r="F82" s="112">
        <f>IFERROR(VLOOKUP($B82,MMWR_TRAD_AGG_STATE_PEN[],F$1,0),"ERROR")</f>
        <v>32</v>
      </c>
      <c r="G82" s="113">
        <f t="shared" si="8"/>
        <v>0.18604651162790697</v>
      </c>
      <c r="H82" s="111">
        <f>IFERROR(VLOOKUP($B82,MMWR_TRAD_AGG_STATE_PEN[],H$1,0),"ERROR")</f>
        <v>141</v>
      </c>
      <c r="I82" s="112">
        <f>IFERROR(VLOOKUP($B82,MMWR_TRAD_AGG_STATE_PEN[],I$1,0),"ERROR")</f>
        <v>34</v>
      </c>
      <c r="J82" s="114">
        <f t="shared" si="9"/>
        <v>0.24113475177304963</v>
      </c>
      <c r="K82" s="111">
        <f>IFERROR(VLOOKUP($B82,MMWR_TRAD_AGG_STATE_PEN[],K$1,0),"ERROR")</f>
        <v>5</v>
      </c>
      <c r="L82" s="112">
        <f>IFERROR(VLOOKUP($B82,MMWR_TRAD_AGG_STATE_PEN[],L$1,0),"ERROR")</f>
        <v>5</v>
      </c>
      <c r="M82" s="114">
        <f t="shared" si="10"/>
        <v>1</v>
      </c>
      <c r="N82" s="111">
        <f>IFERROR(VLOOKUP($B82,MMWR_TRAD_AGG_STATE_PEN[],N$1,0),"ERROR")</f>
        <v>15</v>
      </c>
      <c r="O82" s="112">
        <f>IFERROR(VLOOKUP($B82,MMWR_TRAD_AGG_STATE_PEN[],O$1,0),"ERROR")</f>
        <v>3</v>
      </c>
      <c r="P82" s="114">
        <f t="shared" si="11"/>
        <v>0.2</v>
      </c>
      <c r="Q82" s="115">
        <f>IFERROR(VLOOKUP($B82,MMWR_TRAD_AGG_STATE_PEN[],Q$1,0),"ERROR")</f>
        <v>19</v>
      </c>
      <c r="R82" s="115">
        <f>IFERROR(VLOOKUP($B82,MMWR_TRAD_AGG_STATE_PEN[],R$1,0),"ERROR")</f>
        <v>30</v>
      </c>
      <c r="S82" s="115">
        <f>IFERROR(VLOOKUP($B82,MMWR_APP_STATE_PEN[],S$1,0),"ERROR")</f>
        <v>22</v>
      </c>
      <c r="T82" s="28"/>
    </row>
    <row r="83" spans="1:20" s="123" customFormat="1" x14ac:dyDescent="0.2">
      <c r="A83" s="28"/>
      <c r="B83" s="127" t="s">
        <v>417</v>
      </c>
      <c r="C83" s="109">
        <f>IFERROR(VLOOKUP($B83,MMWR_TRAD_AGG_STATE_PEN[],C$1,0),"ERROR")</f>
        <v>32</v>
      </c>
      <c r="D83" s="110">
        <f>IFERROR(VLOOKUP($B83,MMWR_TRAD_AGG_STATE_PEN[],D$1,0),"ERROR")</f>
        <v>90.71875</v>
      </c>
      <c r="E83" s="111">
        <f>IFERROR(VLOOKUP($B83,MMWR_TRAD_AGG_STATE_PEN[],E$1,0),"ERROR")</f>
        <v>52</v>
      </c>
      <c r="F83" s="112">
        <f>IFERROR(VLOOKUP($B83,MMWR_TRAD_AGG_STATE_PEN[],F$1,0),"ERROR")</f>
        <v>9</v>
      </c>
      <c r="G83" s="113">
        <f t="shared" si="8"/>
        <v>0.17307692307692307</v>
      </c>
      <c r="H83" s="111">
        <f>IFERROR(VLOOKUP($B83,MMWR_TRAD_AGG_STATE_PEN[],H$1,0),"ERROR")</f>
        <v>39</v>
      </c>
      <c r="I83" s="112">
        <f>IFERROR(VLOOKUP($B83,MMWR_TRAD_AGG_STATE_PEN[],I$1,0),"ERROR")</f>
        <v>10</v>
      </c>
      <c r="J83" s="114">
        <f t="shared" si="9"/>
        <v>0.25641025641025639</v>
      </c>
      <c r="K83" s="111">
        <f>IFERROR(VLOOKUP($B83,MMWR_TRAD_AGG_STATE_PEN[],K$1,0),"ERROR")</f>
        <v>1</v>
      </c>
      <c r="L83" s="112">
        <f>IFERROR(VLOOKUP($B83,MMWR_TRAD_AGG_STATE_PEN[],L$1,0),"ERROR")</f>
        <v>1</v>
      </c>
      <c r="M83" s="114">
        <f t="shared" si="10"/>
        <v>1</v>
      </c>
      <c r="N83" s="111">
        <f>IFERROR(VLOOKUP($B83,MMWR_TRAD_AGG_STATE_PEN[],N$1,0),"ERROR")</f>
        <v>4</v>
      </c>
      <c r="O83" s="112">
        <f>IFERROR(VLOOKUP($B83,MMWR_TRAD_AGG_STATE_PEN[],O$1,0),"ERROR")</f>
        <v>2</v>
      </c>
      <c r="P83" s="114">
        <f t="shared" si="11"/>
        <v>0.5</v>
      </c>
      <c r="Q83" s="115">
        <f>IFERROR(VLOOKUP($B83,MMWR_TRAD_AGG_STATE_PEN[],Q$1,0),"ERROR")</f>
        <v>11</v>
      </c>
      <c r="R83" s="115">
        <f>IFERROR(VLOOKUP($B83,MMWR_TRAD_AGG_STATE_PEN[],R$1,0),"ERROR")</f>
        <v>9</v>
      </c>
      <c r="S83" s="115">
        <f>IFERROR(VLOOKUP($B83,MMWR_APP_STATE_PEN[],S$1,0),"ERROR")</f>
        <v>12</v>
      </c>
      <c r="T83" s="28"/>
    </row>
    <row r="84" spans="1:20" s="123" customFormat="1" x14ac:dyDescent="0.2">
      <c r="A84" s="28"/>
      <c r="B84" s="127" t="s">
        <v>378</v>
      </c>
      <c r="C84" s="109">
        <f>IFERROR(VLOOKUP($B84,MMWR_TRAD_AGG_STATE_PEN[],C$1,0),"ERROR")</f>
        <v>789</v>
      </c>
      <c r="D84" s="110">
        <f>IFERROR(VLOOKUP($B84,MMWR_TRAD_AGG_STATE_PEN[],D$1,0),"ERROR")</f>
        <v>100.5792141952</v>
      </c>
      <c r="E84" s="111">
        <f>IFERROR(VLOOKUP($B84,MMWR_TRAD_AGG_STATE_PEN[],E$1,0),"ERROR")</f>
        <v>863</v>
      </c>
      <c r="F84" s="112">
        <f>IFERROR(VLOOKUP($B84,MMWR_TRAD_AGG_STATE_PEN[],F$1,0),"ERROR")</f>
        <v>186</v>
      </c>
      <c r="G84" s="113">
        <f t="shared" si="8"/>
        <v>0.21552723059096177</v>
      </c>
      <c r="H84" s="111">
        <f>IFERROR(VLOOKUP($B84,MMWR_TRAD_AGG_STATE_PEN[],H$1,0),"ERROR")</f>
        <v>1073</v>
      </c>
      <c r="I84" s="112">
        <f>IFERROR(VLOOKUP($B84,MMWR_TRAD_AGG_STATE_PEN[],I$1,0),"ERROR")</f>
        <v>345</v>
      </c>
      <c r="J84" s="114">
        <f t="shared" si="9"/>
        <v>0.32152842497670087</v>
      </c>
      <c r="K84" s="111">
        <f>IFERROR(VLOOKUP($B84,MMWR_TRAD_AGG_STATE_PEN[],K$1,0),"ERROR")</f>
        <v>148</v>
      </c>
      <c r="L84" s="112">
        <f>IFERROR(VLOOKUP($B84,MMWR_TRAD_AGG_STATE_PEN[],L$1,0),"ERROR")</f>
        <v>147</v>
      </c>
      <c r="M84" s="114">
        <f t="shared" si="10"/>
        <v>0.9932432432432432</v>
      </c>
      <c r="N84" s="111">
        <f>IFERROR(VLOOKUP($B84,MMWR_TRAD_AGG_STATE_PEN[],N$1,0),"ERROR")</f>
        <v>65</v>
      </c>
      <c r="O84" s="112">
        <f>IFERROR(VLOOKUP($B84,MMWR_TRAD_AGG_STATE_PEN[],O$1,0),"ERROR")</f>
        <v>28</v>
      </c>
      <c r="P84" s="114">
        <f t="shared" si="11"/>
        <v>0.43076923076923079</v>
      </c>
      <c r="Q84" s="115">
        <f>IFERROR(VLOOKUP($B84,MMWR_TRAD_AGG_STATE_PEN[],Q$1,0),"ERROR")</f>
        <v>178</v>
      </c>
      <c r="R84" s="115">
        <f>IFERROR(VLOOKUP($B84,MMWR_TRAD_AGG_STATE_PEN[],R$1,0),"ERROR")</f>
        <v>324</v>
      </c>
      <c r="S84" s="115">
        <f>IFERROR(VLOOKUP($B84,MMWR_APP_STATE_PEN[],S$1,0),"ERROR")</f>
        <v>171</v>
      </c>
      <c r="T84" s="28"/>
    </row>
    <row r="85" spans="1:20" s="123" customFormat="1" x14ac:dyDescent="0.2">
      <c r="A85" s="28"/>
      <c r="B85" s="127" t="s">
        <v>379</v>
      </c>
      <c r="C85" s="109">
        <f>IFERROR(VLOOKUP($B85,MMWR_TRAD_AGG_STATE_PEN[],C$1,0),"ERROR")</f>
        <v>245</v>
      </c>
      <c r="D85" s="110">
        <f>IFERROR(VLOOKUP($B85,MMWR_TRAD_AGG_STATE_PEN[],D$1,0),"ERROR")</f>
        <v>106.2408163265</v>
      </c>
      <c r="E85" s="111">
        <f>IFERROR(VLOOKUP($B85,MMWR_TRAD_AGG_STATE_PEN[],E$1,0),"ERROR")</f>
        <v>291</v>
      </c>
      <c r="F85" s="112">
        <f>IFERROR(VLOOKUP($B85,MMWR_TRAD_AGG_STATE_PEN[],F$1,0),"ERROR")</f>
        <v>47</v>
      </c>
      <c r="G85" s="113">
        <f t="shared" si="8"/>
        <v>0.16151202749140894</v>
      </c>
      <c r="H85" s="111">
        <f>IFERROR(VLOOKUP($B85,MMWR_TRAD_AGG_STATE_PEN[],H$1,0),"ERROR")</f>
        <v>315</v>
      </c>
      <c r="I85" s="112">
        <f>IFERROR(VLOOKUP($B85,MMWR_TRAD_AGG_STATE_PEN[],I$1,0),"ERROR")</f>
        <v>126</v>
      </c>
      <c r="J85" s="114">
        <f t="shared" si="9"/>
        <v>0.4</v>
      </c>
      <c r="K85" s="111">
        <f>IFERROR(VLOOKUP($B85,MMWR_TRAD_AGG_STATE_PEN[],K$1,0),"ERROR")</f>
        <v>7</v>
      </c>
      <c r="L85" s="112">
        <f>IFERROR(VLOOKUP($B85,MMWR_TRAD_AGG_STATE_PEN[],L$1,0),"ERROR")</f>
        <v>7</v>
      </c>
      <c r="M85" s="114">
        <f t="shared" si="10"/>
        <v>1</v>
      </c>
      <c r="N85" s="111">
        <f>IFERROR(VLOOKUP($B85,MMWR_TRAD_AGG_STATE_PEN[],N$1,0),"ERROR")</f>
        <v>18</v>
      </c>
      <c r="O85" s="112">
        <f>IFERROR(VLOOKUP($B85,MMWR_TRAD_AGG_STATE_PEN[],O$1,0),"ERROR")</f>
        <v>9</v>
      </c>
      <c r="P85" s="114">
        <f t="shared" si="11"/>
        <v>0.5</v>
      </c>
      <c r="Q85" s="115">
        <f>IFERROR(VLOOKUP($B85,MMWR_TRAD_AGG_STATE_PEN[],Q$1,0),"ERROR")</f>
        <v>42</v>
      </c>
      <c r="R85" s="115">
        <f>IFERROR(VLOOKUP($B85,MMWR_TRAD_AGG_STATE_PEN[],R$1,0),"ERROR")</f>
        <v>71</v>
      </c>
      <c r="S85" s="115">
        <f>IFERROR(VLOOKUP($B85,MMWR_APP_STATE_PEN[],S$1,0),"ERROR")</f>
        <v>48</v>
      </c>
      <c r="T85" s="28"/>
    </row>
    <row r="86" spans="1:20" s="123" customFormat="1" x14ac:dyDescent="0.2">
      <c r="A86" s="28"/>
      <c r="B86" s="126" t="s">
        <v>390</v>
      </c>
      <c r="C86" s="102">
        <f>IFERROR(VLOOKUP($B86,MMWR_TRAD_AGG_ST_DISTRICT_PEN[],C$1,0),"ERROR")</f>
        <v>2177</v>
      </c>
      <c r="D86" s="103">
        <f>IFERROR(VLOOKUP($B86,MMWR_TRAD_AGG_ST_DISTRICT_PEN[],D$1,0),"ERROR")</f>
        <v>53.860358291200001</v>
      </c>
      <c r="E86" s="102">
        <f>IFERROR(VLOOKUP($B86,MMWR_TRAD_AGG_ST_DISTRICT_PEN[],E$1,0),"ERROR")</f>
        <v>6036</v>
      </c>
      <c r="F86" s="102">
        <f>IFERROR(VLOOKUP($B86,MMWR_TRAD_AGG_ST_DISTRICT_PEN[],F$1,0),"ERROR")</f>
        <v>458</v>
      </c>
      <c r="G86" s="104">
        <f t="shared" si="8"/>
        <v>7.5878064943671303E-2</v>
      </c>
      <c r="H86" s="102">
        <f>IFERROR(VLOOKUP($B86,MMWR_TRAD_AGG_ST_DISTRICT_PEN[],H$1,0),"ERROR")</f>
        <v>3593</v>
      </c>
      <c r="I86" s="102">
        <f>IFERROR(VLOOKUP($B86,MMWR_TRAD_AGG_ST_DISTRICT_PEN[],I$1,0),"ERROR")</f>
        <v>208</v>
      </c>
      <c r="J86" s="104">
        <f t="shared" si="9"/>
        <v>5.7890342332312827E-2</v>
      </c>
      <c r="K86" s="102">
        <f>IFERROR(VLOOKUP($B86,MMWR_TRAD_AGG_ST_DISTRICT_PEN[],K$1,0),"ERROR")</f>
        <v>18</v>
      </c>
      <c r="L86" s="102">
        <f>IFERROR(VLOOKUP($B86,MMWR_TRAD_AGG_ST_DISTRICT_PEN[],L$1,0),"ERROR")</f>
        <v>11</v>
      </c>
      <c r="M86" s="104">
        <f t="shared" si="10"/>
        <v>0.61111111111111116</v>
      </c>
      <c r="N86" s="102">
        <f>IFERROR(VLOOKUP($B86,MMWR_TRAD_AGG_ST_DISTRICT_PEN[],N$1,0),"ERROR")</f>
        <v>266</v>
      </c>
      <c r="O86" s="102">
        <f>IFERROR(VLOOKUP($B86,MMWR_TRAD_AGG_ST_DISTRICT_PEN[],O$1,0),"ERROR")</f>
        <v>70</v>
      </c>
      <c r="P86" s="104">
        <f t="shared" si="11"/>
        <v>0.26315789473684209</v>
      </c>
      <c r="Q86" s="102">
        <f>IFERROR(VLOOKUP($B86,MMWR_TRAD_AGG_ST_DISTRICT_PEN[],Q$1,0),"ERROR")</f>
        <v>1856</v>
      </c>
      <c r="R86" s="106">
        <f>IFERROR(VLOOKUP($B86,MMWR_TRAD_AGG_ST_DISTRICT_PEN[],R$1,0),"ERROR")</f>
        <v>519</v>
      </c>
      <c r="S86" s="106">
        <f>IFERROR(VLOOKUP($B86,MMWR_APP_STATE_PEN[],S$1,0),"ERROR")</f>
        <v>1640</v>
      </c>
      <c r="T86" s="28"/>
    </row>
    <row r="87" spans="1:20" s="123" customFormat="1" x14ac:dyDescent="0.2">
      <c r="A87" s="28"/>
      <c r="B87" s="127" t="s">
        <v>394</v>
      </c>
      <c r="C87" s="109">
        <f>IFERROR(VLOOKUP($B87,MMWR_TRAD_AGG_STATE_PEN[],C$1,0),"ERROR")</f>
        <v>321</v>
      </c>
      <c r="D87" s="110">
        <f>IFERROR(VLOOKUP($B87,MMWR_TRAD_AGG_STATE_PEN[],D$1,0),"ERROR")</f>
        <v>58.535825545199998</v>
      </c>
      <c r="E87" s="111">
        <f>IFERROR(VLOOKUP($B87,MMWR_TRAD_AGG_STATE_PEN[],E$1,0),"ERROR")</f>
        <v>890</v>
      </c>
      <c r="F87" s="112">
        <f>IFERROR(VLOOKUP($B87,MMWR_TRAD_AGG_STATE_PEN[],F$1,0),"ERROR")</f>
        <v>78</v>
      </c>
      <c r="G87" s="113">
        <f t="shared" si="8"/>
        <v>8.7640449438202248E-2</v>
      </c>
      <c r="H87" s="111">
        <f>IFERROR(VLOOKUP($B87,MMWR_TRAD_AGG_STATE_PEN[],H$1,0),"ERROR")</f>
        <v>493</v>
      </c>
      <c r="I87" s="112">
        <f>IFERROR(VLOOKUP($B87,MMWR_TRAD_AGG_STATE_PEN[],I$1,0),"ERROR")</f>
        <v>30</v>
      </c>
      <c r="J87" s="114">
        <f t="shared" si="9"/>
        <v>6.0851926977687626E-2</v>
      </c>
      <c r="K87" s="111">
        <f>IFERROR(VLOOKUP($B87,MMWR_TRAD_AGG_STATE_PEN[],K$1,0),"ERROR")</f>
        <v>1</v>
      </c>
      <c r="L87" s="112">
        <f>IFERROR(VLOOKUP($B87,MMWR_TRAD_AGG_STATE_PEN[],L$1,0),"ERROR")</f>
        <v>1</v>
      </c>
      <c r="M87" s="114">
        <f t="shared" si="10"/>
        <v>1</v>
      </c>
      <c r="N87" s="111">
        <f>IFERROR(VLOOKUP($B87,MMWR_TRAD_AGG_STATE_PEN[],N$1,0),"ERROR")</f>
        <v>50</v>
      </c>
      <c r="O87" s="112">
        <f>IFERROR(VLOOKUP($B87,MMWR_TRAD_AGG_STATE_PEN[],O$1,0),"ERROR")</f>
        <v>14</v>
      </c>
      <c r="P87" s="114">
        <f t="shared" si="11"/>
        <v>0.28000000000000003</v>
      </c>
      <c r="Q87" s="115">
        <f>IFERROR(VLOOKUP($B87,MMWR_TRAD_AGG_STATE_PEN[],Q$1,0),"ERROR")</f>
        <v>87</v>
      </c>
      <c r="R87" s="115">
        <f>IFERROR(VLOOKUP($B87,MMWR_TRAD_AGG_STATE_PEN[],R$1,0),"ERROR")</f>
        <v>121</v>
      </c>
      <c r="S87" s="115">
        <f>IFERROR(VLOOKUP($B87,MMWR_APP_STATE_PEN[],S$1,0),"ERROR")</f>
        <v>350</v>
      </c>
      <c r="T87" s="28"/>
    </row>
    <row r="88" spans="1:20" s="123" customFormat="1" x14ac:dyDescent="0.2">
      <c r="A88" s="28"/>
      <c r="B88" s="127" t="s">
        <v>392</v>
      </c>
      <c r="C88" s="109">
        <f>IFERROR(VLOOKUP($B88,MMWR_TRAD_AGG_STATE_PEN[],C$1,0),"ERROR")</f>
        <v>198</v>
      </c>
      <c r="D88" s="110">
        <f>IFERROR(VLOOKUP($B88,MMWR_TRAD_AGG_STATE_PEN[],D$1,0),"ERROR")</f>
        <v>64.914141414100001</v>
      </c>
      <c r="E88" s="111">
        <f>IFERROR(VLOOKUP($B88,MMWR_TRAD_AGG_STATE_PEN[],E$1,0),"ERROR")</f>
        <v>613</v>
      </c>
      <c r="F88" s="112">
        <f>IFERROR(VLOOKUP($B88,MMWR_TRAD_AGG_STATE_PEN[],F$1,0),"ERROR")</f>
        <v>72</v>
      </c>
      <c r="G88" s="113">
        <f t="shared" si="8"/>
        <v>0.11745513866231648</v>
      </c>
      <c r="H88" s="111">
        <f>IFERROR(VLOOKUP($B88,MMWR_TRAD_AGG_STATE_PEN[],H$1,0),"ERROR")</f>
        <v>361</v>
      </c>
      <c r="I88" s="112">
        <f>IFERROR(VLOOKUP($B88,MMWR_TRAD_AGG_STATE_PEN[],I$1,0),"ERROR")</f>
        <v>30</v>
      </c>
      <c r="J88" s="114">
        <f t="shared" si="9"/>
        <v>8.3102493074792241E-2</v>
      </c>
      <c r="K88" s="111">
        <f>IFERROR(VLOOKUP($B88,MMWR_TRAD_AGG_STATE_PEN[],K$1,0),"ERROR")</f>
        <v>3</v>
      </c>
      <c r="L88" s="112">
        <f>IFERROR(VLOOKUP($B88,MMWR_TRAD_AGG_STATE_PEN[],L$1,0),"ERROR")</f>
        <v>3</v>
      </c>
      <c r="M88" s="114">
        <f t="shared" si="10"/>
        <v>1</v>
      </c>
      <c r="N88" s="111">
        <f>IFERROR(VLOOKUP($B88,MMWR_TRAD_AGG_STATE_PEN[],N$1,0),"ERROR")</f>
        <v>27</v>
      </c>
      <c r="O88" s="112">
        <f>IFERROR(VLOOKUP($B88,MMWR_TRAD_AGG_STATE_PEN[],O$1,0),"ERROR")</f>
        <v>14</v>
      </c>
      <c r="P88" s="114">
        <f t="shared" si="11"/>
        <v>0.51851851851851849</v>
      </c>
      <c r="Q88" s="115">
        <f>IFERROR(VLOOKUP($B88,MMWR_TRAD_AGG_STATE_PEN[],Q$1,0),"ERROR")</f>
        <v>60</v>
      </c>
      <c r="R88" s="115">
        <f>IFERROR(VLOOKUP($B88,MMWR_TRAD_AGG_STATE_PEN[],R$1,0),"ERROR")</f>
        <v>64</v>
      </c>
      <c r="S88" s="115">
        <f>IFERROR(VLOOKUP($B88,MMWR_APP_STATE_PEN[],S$1,0),"ERROR")</f>
        <v>190</v>
      </c>
      <c r="T88" s="28"/>
    </row>
    <row r="89" spans="1:20" s="123" customFormat="1" x14ac:dyDescent="0.2">
      <c r="A89" s="28"/>
      <c r="B89" s="127" t="s">
        <v>399</v>
      </c>
      <c r="C89" s="109">
        <f>IFERROR(VLOOKUP($B89,MMWR_TRAD_AGG_STATE_PEN[],C$1,0),"ERROR")</f>
        <v>101</v>
      </c>
      <c r="D89" s="110">
        <f>IFERROR(VLOOKUP($B89,MMWR_TRAD_AGG_STATE_PEN[],D$1,0),"ERROR")</f>
        <v>44.297029703</v>
      </c>
      <c r="E89" s="111">
        <f>IFERROR(VLOOKUP($B89,MMWR_TRAD_AGG_STATE_PEN[],E$1,0),"ERROR")</f>
        <v>322</v>
      </c>
      <c r="F89" s="112">
        <f>IFERROR(VLOOKUP($B89,MMWR_TRAD_AGG_STATE_PEN[],F$1,0),"ERROR")</f>
        <v>4</v>
      </c>
      <c r="G89" s="113">
        <f t="shared" si="8"/>
        <v>1.2422360248447204E-2</v>
      </c>
      <c r="H89" s="111">
        <f>IFERROR(VLOOKUP($B89,MMWR_TRAD_AGG_STATE_PEN[],H$1,0),"ERROR")</f>
        <v>156</v>
      </c>
      <c r="I89" s="112">
        <f>IFERROR(VLOOKUP($B89,MMWR_TRAD_AGG_STATE_PEN[],I$1,0),"ERROR")</f>
        <v>4</v>
      </c>
      <c r="J89" s="114">
        <f t="shared" si="9"/>
        <v>2.564102564102564E-2</v>
      </c>
      <c r="K89" s="111">
        <f>IFERROR(VLOOKUP($B89,MMWR_TRAD_AGG_STATE_PEN[],K$1,0),"ERROR")</f>
        <v>0</v>
      </c>
      <c r="L89" s="112">
        <f>IFERROR(VLOOKUP($B89,MMWR_TRAD_AGG_STATE_PEN[],L$1,0),"ERROR")</f>
        <v>0</v>
      </c>
      <c r="M89" s="114" t="str">
        <f t="shared" si="10"/>
        <v>0%</v>
      </c>
      <c r="N89" s="111">
        <f>IFERROR(VLOOKUP($B89,MMWR_TRAD_AGG_STATE_PEN[],N$1,0),"ERROR")</f>
        <v>5</v>
      </c>
      <c r="O89" s="112">
        <f>IFERROR(VLOOKUP($B89,MMWR_TRAD_AGG_STATE_PEN[],O$1,0),"ERROR")</f>
        <v>1</v>
      </c>
      <c r="P89" s="114">
        <f t="shared" si="11"/>
        <v>0.2</v>
      </c>
      <c r="Q89" s="115">
        <f>IFERROR(VLOOKUP($B89,MMWR_TRAD_AGG_STATE_PEN[],Q$1,0),"ERROR")</f>
        <v>295</v>
      </c>
      <c r="R89" s="115">
        <f>IFERROR(VLOOKUP($B89,MMWR_TRAD_AGG_STATE_PEN[],R$1,0),"ERROR")</f>
        <v>15</v>
      </c>
      <c r="S89" s="115">
        <f>IFERROR(VLOOKUP($B89,MMWR_APP_STATE_PEN[],S$1,0),"ERROR")</f>
        <v>28</v>
      </c>
      <c r="T89" s="28"/>
    </row>
    <row r="90" spans="1:20" s="123" customFormat="1" x14ac:dyDescent="0.2">
      <c r="A90" s="28"/>
      <c r="B90" s="127" t="s">
        <v>422</v>
      </c>
      <c r="C90" s="109">
        <f>IFERROR(VLOOKUP($B90,MMWR_TRAD_AGG_STATE_PEN[],C$1,0),"ERROR")</f>
        <v>78</v>
      </c>
      <c r="D90" s="110">
        <f>IFERROR(VLOOKUP($B90,MMWR_TRAD_AGG_STATE_PEN[],D$1,0),"ERROR")</f>
        <v>44.2692307692</v>
      </c>
      <c r="E90" s="111">
        <f>IFERROR(VLOOKUP($B90,MMWR_TRAD_AGG_STATE_PEN[],E$1,0),"ERROR")</f>
        <v>233</v>
      </c>
      <c r="F90" s="112">
        <f>IFERROR(VLOOKUP($B90,MMWR_TRAD_AGG_STATE_PEN[],F$1,0),"ERROR")</f>
        <v>5</v>
      </c>
      <c r="G90" s="113">
        <f t="shared" si="8"/>
        <v>2.1459227467811159E-2</v>
      </c>
      <c r="H90" s="111">
        <f>IFERROR(VLOOKUP($B90,MMWR_TRAD_AGG_STATE_PEN[],H$1,0),"ERROR")</f>
        <v>120</v>
      </c>
      <c r="I90" s="112">
        <f>IFERROR(VLOOKUP($B90,MMWR_TRAD_AGG_STATE_PEN[],I$1,0),"ERROR")</f>
        <v>3</v>
      </c>
      <c r="J90" s="114">
        <f t="shared" si="9"/>
        <v>2.5000000000000001E-2</v>
      </c>
      <c r="K90" s="111">
        <f>IFERROR(VLOOKUP($B90,MMWR_TRAD_AGG_STATE_PEN[],K$1,0),"ERROR")</f>
        <v>1</v>
      </c>
      <c r="L90" s="112">
        <f>IFERROR(VLOOKUP($B90,MMWR_TRAD_AGG_STATE_PEN[],L$1,0),"ERROR")</f>
        <v>1</v>
      </c>
      <c r="M90" s="114">
        <f t="shared" si="10"/>
        <v>1</v>
      </c>
      <c r="N90" s="111">
        <f>IFERROR(VLOOKUP($B90,MMWR_TRAD_AGG_STATE_PEN[],N$1,0),"ERROR")</f>
        <v>5</v>
      </c>
      <c r="O90" s="112">
        <f>IFERROR(VLOOKUP($B90,MMWR_TRAD_AGG_STATE_PEN[],O$1,0),"ERROR")</f>
        <v>1</v>
      </c>
      <c r="P90" s="114">
        <f t="shared" si="11"/>
        <v>0.2</v>
      </c>
      <c r="Q90" s="115">
        <f>IFERROR(VLOOKUP($B90,MMWR_TRAD_AGG_STATE_PEN[],Q$1,0),"ERROR")</f>
        <v>149</v>
      </c>
      <c r="R90" s="115">
        <f>IFERROR(VLOOKUP($B90,MMWR_TRAD_AGG_STATE_PEN[],R$1,0),"ERROR")</f>
        <v>23</v>
      </c>
      <c r="S90" s="115">
        <f>IFERROR(VLOOKUP($B90,MMWR_APP_STATE_PEN[],S$1,0),"ERROR")</f>
        <v>28</v>
      </c>
      <c r="T90" s="28"/>
    </row>
    <row r="91" spans="1:20" s="123" customFormat="1" x14ac:dyDescent="0.2">
      <c r="A91" s="28"/>
      <c r="B91" s="127" t="s">
        <v>395</v>
      </c>
      <c r="C91" s="109">
        <f>IFERROR(VLOOKUP($B91,MMWR_TRAD_AGG_STATE_PEN[],C$1,0),"ERROR")</f>
        <v>400</v>
      </c>
      <c r="D91" s="110">
        <f>IFERROR(VLOOKUP($B91,MMWR_TRAD_AGG_STATE_PEN[],D$1,0),"ERROR")</f>
        <v>53.077500000000001</v>
      </c>
      <c r="E91" s="111">
        <f>IFERROR(VLOOKUP($B91,MMWR_TRAD_AGG_STATE_PEN[],E$1,0),"ERROR")</f>
        <v>1101</v>
      </c>
      <c r="F91" s="112">
        <f>IFERROR(VLOOKUP($B91,MMWR_TRAD_AGG_STATE_PEN[],F$1,0),"ERROR")</f>
        <v>97</v>
      </c>
      <c r="G91" s="113">
        <f t="shared" si="8"/>
        <v>8.8101725703905537E-2</v>
      </c>
      <c r="H91" s="111">
        <f>IFERROR(VLOOKUP($B91,MMWR_TRAD_AGG_STATE_PEN[],H$1,0),"ERROR")</f>
        <v>624</v>
      </c>
      <c r="I91" s="112">
        <f>IFERROR(VLOOKUP($B91,MMWR_TRAD_AGG_STATE_PEN[],I$1,0),"ERROR")</f>
        <v>41</v>
      </c>
      <c r="J91" s="114">
        <f t="shared" si="9"/>
        <v>6.5705128205128208E-2</v>
      </c>
      <c r="K91" s="111">
        <f>IFERROR(VLOOKUP($B91,MMWR_TRAD_AGG_STATE_PEN[],K$1,0),"ERROR")</f>
        <v>1</v>
      </c>
      <c r="L91" s="112">
        <f>IFERROR(VLOOKUP($B91,MMWR_TRAD_AGG_STATE_PEN[],L$1,0),"ERROR")</f>
        <v>1</v>
      </c>
      <c r="M91" s="114">
        <f t="shared" si="10"/>
        <v>1</v>
      </c>
      <c r="N91" s="111">
        <f>IFERROR(VLOOKUP($B91,MMWR_TRAD_AGG_STATE_PEN[],N$1,0),"ERROR")</f>
        <v>54</v>
      </c>
      <c r="O91" s="112">
        <f>IFERROR(VLOOKUP($B91,MMWR_TRAD_AGG_STATE_PEN[],O$1,0),"ERROR")</f>
        <v>8</v>
      </c>
      <c r="P91" s="114">
        <f t="shared" si="11"/>
        <v>0.14814814814814814</v>
      </c>
      <c r="Q91" s="115">
        <f>IFERROR(VLOOKUP($B91,MMWR_TRAD_AGG_STATE_PEN[],Q$1,0),"ERROR")</f>
        <v>95</v>
      </c>
      <c r="R91" s="115">
        <f>IFERROR(VLOOKUP($B91,MMWR_TRAD_AGG_STATE_PEN[],R$1,0),"ERROR")</f>
        <v>79</v>
      </c>
      <c r="S91" s="115">
        <f>IFERROR(VLOOKUP($B91,MMWR_APP_STATE_PEN[],S$1,0),"ERROR")</f>
        <v>261</v>
      </c>
      <c r="T91" s="28"/>
    </row>
    <row r="92" spans="1:20" s="123" customFormat="1" x14ac:dyDescent="0.2">
      <c r="A92" s="28"/>
      <c r="B92" s="127" t="s">
        <v>401</v>
      </c>
      <c r="C92" s="109">
        <f>IFERROR(VLOOKUP($B92,MMWR_TRAD_AGG_STATE_PEN[],C$1,0),"ERROR")</f>
        <v>123</v>
      </c>
      <c r="D92" s="110">
        <f>IFERROR(VLOOKUP($B92,MMWR_TRAD_AGG_STATE_PEN[],D$1,0),"ERROR")</f>
        <v>39.219512195100002</v>
      </c>
      <c r="E92" s="111">
        <f>IFERROR(VLOOKUP($B92,MMWR_TRAD_AGG_STATE_PEN[],E$1,0),"ERROR")</f>
        <v>334</v>
      </c>
      <c r="F92" s="112">
        <f>IFERROR(VLOOKUP($B92,MMWR_TRAD_AGG_STATE_PEN[],F$1,0),"ERROR")</f>
        <v>12</v>
      </c>
      <c r="G92" s="113">
        <f t="shared" si="8"/>
        <v>3.5928143712574849E-2</v>
      </c>
      <c r="H92" s="111">
        <f>IFERROR(VLOOKUP($B92,MMWR_TRAD_AGG_STATE_PEN[],H$1,0),"ERROR")</f>
        <v>182</v>
      </c>
      <c r="I92" s="112">
        <f>IFERROR(VLOOKUP($B92,MMWR_TRAD_AGG_STATE_PEN[],I$1,0),"ERROR")</f>
        <v>4</v>
      </c>
      <c r="J92" s="114">
        <f t="shared" si="9"/>
        <v>2.197802197802198E-2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3</v>
      </c>
      <c r="P92" s="114">
        <f t="shared" si="11"/>
        <v>0.6</v>
      </c>
      <c r="Q92" s="115">
        <f>IFERROR(VLOOKUP($B92,MMWR_TRAD_AGG_STATE_PEN[],Q$1,0),"ERROR")</f>
        <v>559</v>
      </c>
      <c r="R92" s="115">
        <f>IFERROR(VLOOKUP($B92,MMWR_TRAD_AGG_STATE_PEN[],R$1,0),"ERROR")</f>
        <v>20</v>
      </c>
      <c r="S92" s="115">
        <f>IFERROR(VLOOKUP($B92,MMWR_APP_STATE_PEN[],S$1,0),"ERROR")</f>
        <v>27</v>
      </c>
      <c r="T92" s="28"/>
    </row>
    <row r="93" spans="1:20" s="123" customFormat="1" x14ac:dyDescent="0.2">
      <c r="A93" s="28"/>
      <c r="B93" s="127" t="s">
        <v>397</v>
      </c>
      <c r="C93" s="109">
        <f>IFERROR(VLOOKUP($B93,MMWR_TRAD_AGG_STATE_PEN[],C$1,0),"ERROR")</f>
        <v>285</v>
      </c>
      <c r="D93" s="110">
        <f>IFERROR(VLOOKUP($B93,MMWR_TRAD_AGG_STATE_PEN[],D$1,0),"ERROR")</f>
        <v>58.256140350899997</v>
      </c>
      <c r="E93" s="111">
        <f>IFERROR(VLOOKUP($B93,MMWR_TRAD_AGG_STATE_PEN[],E$1,0),"ERROR")</f>
        <v>680</v>
      </c>
      <c r="F93" s="112">
        <f>IFERROR(VLOOKUP($B93,MMWR_TRAD_AGG_STATE_PEN[],F$1,0),"ERROR")</f>
        <v>48</v>
      </c>
      <c r="G93" s="113">
        <f t="shared" si="8"/>
        <v>7.0588235294117646E-2</v>
      </c>
      <c r="H93" s="111">
        <f>IFERROR(VLOOKUP($B93,MMWR_TRAD_AGG_STATE_PEN[],H$1,0),"ERROR")</f>
        <v>497</v>
      </c>
      <c r="I93" s="112">
        <f>IFERROR(VLOOKUP($B93,MMWR_TRAD_AGG_STATE_PEN[],I$1,0),"ERROR")</f>
        <v>37</v>
      </c>
      <c r="J93" s="114">
        <f t="shared" si="9"/>
        <v>7.4446680080482899E-2</v>
      </c>
      <c r="K93" s="111">
        <f>IFERROR(VLOOKUP($B93,MMWR_TRAD_AGG_STATE_PEN[],K$1,0),"ERROR")</f>
        <v>2</v>
      </c>
      <c r="L93" s="112">
        <f>IFERROR(VLOOKUP($B93,MMWR_TRAD_AGG_STATE_PEN[],L$1,0),"ERROR")</f>
        <v>1</v>
      </c>
      <c r="M93" s="114">
        <f t="shared" si="10"/>
        <v>0.5</v>
      </c>
      <c r="N93" s="111">
        <f>IFERROR(VLOOKUP($B93,MMWR_TRAD_AGG_STATE_PEN[],N$1,0),"ERROR")</f>
        <v>36</v>
      </c>
      <c r="O93" s="112">
        <f>IFERROR(VLOOKUP($B93,MMWR_TRAD_AGG_STATE_PEN[],O$1,0),"ERROR")</f>
        <v>10</v>
      </c>
      <c r="P93" s="114">
        <f t="shared" si="11"/>
        <v>0.27777777777777779</v>
      </c>
      <c r="Q93" s="115">
        <f>IFERROR(VLOOKUP($B93,MMWR_TRAD_AGG_STATE_PEN[],Q$1,0),"ERROR")</f>
        <v>92</v>
      </c>
      <c r="R93" s="115">
        <f>IFERROR(VLOOKUP($B93,MMWR_TRAD_AGG_STATE_PEN[],R$1,0),"ERROR")</f>
        <v>44</v>
      </c>
      <c r="S93" s="115">
        <f>IFERROR(VLOOKUP($B93,MMWR_APP_STATE_PEN[],S$1,0),"ERROR")</f>
        <v>222</v>
      </c>
      <c r="T93" s="28"/>
    </row>
    <row r="94" spans="1:20" s="123" customFormat="1" x14ac:dyDescent="0.2">
      <c r="A94" s="28"/>
      <c r="B94" s="127" t="s">
        <v>400</v>
      </c>
      <c r="C94" s="109">
        <f>IFERROR(VLOOKUP($B94,MMWR_TRAD_AGG_STATE_PEN[],C$1,0),"ERROR")</f>
        <v>27</v>
      </c>
      <c r="D94" s="110">
        <f>IFERROR(VLOOKUP($B94,MMWR_TRAD_AGG_STATE_PEN[],D$1,0),"ERROR")</f>
        <v>39.074074074099997</v>
      </c>
      <c r="E94" s="111">
        <f>IFERROR(VLOOKUP($B94,MMWR_TRAD_AGG_STATE_PEN[],E$1,0),"ERROR")</f>
        <v>75</v>
      </c>
      <c r="F94" s="112">
        <f>IFERROR(VLOOKUP($B94,MMWR_TRAD_AGG_STATE_PEN[],F$1,0),"ERROR")</f>
        <v>5</v>
      </c>
      <c r="G94" s="113">
        <f t="shared" si="8"/>
        <v>6.6666666666666666E-2</v>
      </c>
      <c r="H94" s="111">
        <f>IFERROR(VLOOKUP($B94,MMWR_TRAD_AGG_STATE_PEN[],H$1,0),"ERROR")</f>
        <v>51</v>
      </c>
      <c r="I94" s="112">
        <f>IFERROR(VLOOKUP($B94,MMWR_TRAD_AGG_STATE_PEN[],I$1,0),"ERROR")</f>
        <v>1</v>
      </c>
      <c r="J94" s="114">
        <f t="shared" si="9"/>
        <v>1.9607843137254902E-2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177</v>
      </c>
      <c r="R94" s="115">
        <f>IFERROR(VLOOKUP($B94,MMWR_TRAD_AGG_STATE_PEN[],R$1,0),"ERROR")</f>
        <v>9</v>
      </c>
      <c r="S94" s="115">
        <f>IFERROR(VLOOKUP($B94,MMWR_APP_STATE_PEN[],S$1,0),"ERROR")</f>
        <v>24</v>
      </c>
      <c r="T94" s="28"/>
    </row>
    <row r="95" spans="1:20" s="123" customFormat="1" x14ac:dyDescent="0.2">
      <c r="A95" s="28"/>
      <c r="B95" s="127" t="s">
        <v>419</v>
      </c>
      <c r="C95" s="109">
        <f>IFERROR(VLOOKUP($B95,MMWR_TRAD_AGG_STATE_PEN[],C$1,0),"ERROR")</f>
        <v>13</v>
      </c>
      <c r="D95" s="110">
        <f>IFERROR(VLOOKUP($B95,MMWR_TRAD_AGG_STATE_PEN[],D$1,0),"ERROR")</f>
        <v>35.2307692308</v>
      </c>
      <c r="E95" s="111">
        <f>IFERROR(VLOOKUP($B95,MMWR_TRAD_AGG_STATE_PEN[],E$1,0),"ERROR")</f>
        <v>53</v>
      </c>
      <c r="F95" s="112">
        <f>IFERROR(VLOOKUP($B95,MMWR_TRAD_AGG_STATE_PEN[],F$1,0),"ERROR")</f>
        <v>1</v>
      </c>
      <c r="G95" s="113">
        <f t="shared" si="8"/>
        <v>1.8867924528301886E-2</v>
      </c>
      <c r="H95" s="111">
        <f>IFERROR(VLOOKUP($B95,MMWR_TRAD_AGG_STATE_PEN[],H$1,0),"ERROR")</f>
        <v>20</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58</v>
      </c>
      <c r="R95" s="115">
        <f>IFERROR(VLOOKUP($B95,MMWR_TRAD_AGG_STATE_PEN[],R$1,0),"ERROR")</f>
        <v>3</v>
      </c>
      <c r="S95" s="115">
        <f>IFERROR(VLOOKUP($B95,MMWR_APP_STATE_PEN[],S$1,0),"ERROR")</f>
        <v>8</v>
      </c>
      <c r="T95" s="28"/>
    </row>
    <row r="96" spans="1:20" s="123" customFormat="1" x14ac:dyDescent="0.2">
      <c r="A96" s="28"/>
      <c r="B96" s="127" t="s">
        <v>391</v>
      </c>
      <c r="C96" s="109">
        <f>IFERROR(VLOOKUP($B96,MMWR_TRAD_AGG_STATE_PEN[],C$1,0),"ERROR")</f>
        <v>438</v>
      </c>
      <c r="D96" s="110">
        <f>IFERROR(VLOOKUP($B96,MMWR_TRAD_AGG_STATE_PEN[],D$1,0),"ERROR")</f>
        <v>56.1164383562</v>
      </c>
      <c r="E96" s="111">
        <f>IFERROR(VLOOKUP($B96,MMWR_TRAD_AGG_STATE_PEN[],E$1,0),"ERROR")</f>
        <v>1284</v>
      </c>
      <c r="F96" s="112">
        <f>IFERROR(VLOOKUP($B96,MMWR_TRAD_AGG_STATE_PEN[],F$1,0),"ERROR")</f>
        <v>115</v>
      </c>
      <c r="G96" s="113">
        <f t="shared" si="8"/>
        <v>8.9563862928348906E-2</v>
      </c>
      <c r="H96" s="111">
        <f>IFERROR(VLOOKUP($B96,MMWR_TRAD_AGG_STATE_PEN[],H$1,0),"ERROR")</f>
        <v>751</v>
      </c>
      <c r="I96" s="112">
        <f>IFERROR(VLOOKUP($B96,MMWR_TRAD_AGG_STATE_PEN[],I$1,0),"ERROR")</f>
        <v>48</v>
      </c>
      <c r="J96" s="114">
        <f t="shared" si="9"/>
        <v>6.3914780292942744E-2</v>
      </c>
      <c r="K96" s="111">
        <f>IFERROR(VLOOKUP($B96,MMWR_TRAD_AGG_STATE_PEN[],K$1,0),"ERROR")</f>
        <v>8</v>
      </c>
      <c r="L96" s="112">
        <f>IFERROR(VLOOKUP($B96,MMWR_TRAD_AGG_STATE_PEN[],L$1,0),"ERROR")</f>
        <v>3</v>
      </c>
      <c r="M96" s="114">
        <f t="shared" si="10"/>
        <v>0.375</v>
      </c>
      <c r="N96" s="111">
        <f>IFERROR(VLOOKUP($B96,MMWR_TRAD_AGG_STATE_PEN[],N$1,0),"ERROR")</f>
        <v>56</v>
      </c>
      <c r="O96" s="112">
        <f>IFERROR(VLOOKUP($B96,MMWR_TRAD_AGG_STATE_PEN[],O$1,0),"ERROR")</f>
        <v>10</v>
      </c>
      <c r="P96" s="114">
        <f t="shared" si="11"/>
        <v>0.17857142857142858</v>
      </c>
      <c r="Q96" s="115">
        <f>IFERROR(VLOOKUP($B96,MMWR_TRAD_AGG_STATE_PEN[],Q$1,0),"ERROR")</f>
        <v>124</v>
      </c>
      <c r="R96" s="115">
        <f>IFERROR(VLOOKUP($B96,MMWR_TRAD_AGG_STATE_PEN[],R$1,0),"ERROR")</f>
        <v>110</v>
      </c>
      <c r="S96" s="115">
        <f>IFERROR(VLOOKUP($B96,MMWR_APP_STATE_PEN[],S$1,0),"ERROR")</f>
        <v>402</v>
      </c>
      <c r="T96" s="28"/>
    </row>
    <row r="97" spans="1:20" s="123" customFormat="1" x14ac:dyDescent="0.2">
      <c r="A97" s="28"/>
      <c r="B97" s="127" t="s">
        <v>420</v>
      </c>
      <c r="C97" s="109">
        <f>IFERROR(VLOOKUP($B97,MMWR_TRAD_AGG_STATE_PEN[],C$1,0),"ERROR")</f>
        <v>25</v>
      </c>
      <c r="D97" s="110">
        <f>IFERROR(VLOOKUP($B97,MMWR_TRAD_AGG_STATE_PEN[],D$1,0),"ERROR")</f>
        <v>45.16</v>
      </c>
      <c r="E97" s="111">
        <f>IFERROR(VLOOKUP($B97,MMWR_TRAD_AGG_STATE_PEN[],E$1,0),"ERROR")</f>
        <v>46</v>
      </c>
      <c r="F97" s="112">
        <f>IFERROR(VLOOKUP($B97,MMWR_TRAD_AGG_STATE_PEN[],F$1,0),"ERROR")</f>
        <v>0</v>
      </c>
      <c r="G97" s="113">
        <f t="shared" si="8"/>
        <v>0</v>
      </c>
      <c r="H97" s="111">
        <f>IFERROR(VLOOKUP($B97,MMWR_TRAD_AGG_STATE_PEN[],H$1,0),"ERROR")</f>
        <v>39</v>
      </c>
      <c r="I97" s="112">
        <f>IFERROR(VLOOKUP($B97,MMWR_TRAD_AGG_STATE_PEN[],I$1,0),"ERROR")</f>
        <v>2</v>
      </c>
      <c r="J97" s="114">
        <f t="shared" si="9"/>
        <v>5.128205128205128E-2</v>
      </c>
      <c r="K97" s="111">
        <f>IFERROR(VLOOKUP($B97,MMWR_TRAD_AGG_STATE_PEN[],K$1,0),"ERROR")</f>
        <v>0</v>
      </c>
      <c r="L97" s="112">
        <f>IFERROR(VLOOKUP($B97,MMWR_TRAD_AGG_STATE_PEN[],L$1,0),"ERROR")</f>
        <v>0</v>
      </c>
      <c r="M97" s="114" t="str">
        <f t="shared" si="10"/>
        <v>0%</v>
      </c>
      <c r="N97" s="111">
        <f>IFERROR(VLOOKUP($B97,MMWR_TRAD_AGG_STATE_PEN[],N$1,0),"ERROR")</f>
        <v>0</v>
      </c>
      <c r="O97" s="112">
        <f>IFERROR(VLOOKUP($B97,MMWR_TRAD_AGG_STATE_PEN[],O$1,0),"ERROR")</f>
        <v>0</v>
      </c>
      <c r="P97" s="114" t="str">
        <f t="shared" si="11"/>
        <v>0%</v>
      </c>
      <c r="Q97" s="115">
        <f>IFERROR(VLOOKUP($B97,MMWR_TRAD_AGG_STATE_PEN[],Q$1,0),"ERROR")</f>
        <v>99</v>
      </c>
      <c r="R97" s="115">
        <f>IFERROR(VLOOKUP($B97,MMWR_TRAD_AGG_STATE_PEN[],R$1,0),"ERROR")</f>
        <v>3</v>
      </c>
      <c r="S97" s="115">
        <f>IFERROR(VLOOKUP($B97,MMWR_APP_STATE_PEN[],S$1,0),"ERROR")</f>
        <v>8</v>
      </c>
      <c r="T97" s="28"/>
    </row>
    <row r="98" spans="1:20" s="123" customFormat="1" x14ac:dyDescent="0.2">
      <c r="A98" s="28"/>
      <c r="B98" s="127" t="s">
        <v>396</v>
      </c>
      <c r="C98" s="109">
        <f>IFERROR(VLOOKUP($B98,MMWR_TRAD_AGG_STATE_PEN[],C$1,0),"ERROR")</f>
        <v>168</v>
      </c>
      <c r="D98" s="110">
        <f>IFERROR(VLOOKUP($B98,MMWR_TRAD_AGG_STATE_PEN[],D$1,0),"ERROR")</f>
        <v>46.458333333299997</v>
      </c>
      <c r="E98" s="111">
        <f>IFERROR(VLOOKUP($B98,MMWR_TRAD_AGG_STATE_PEN[],E$1,0),"ERROR")</f>
        <v>405</v>
      </c>
      <c r="F98" s="112">
        <f>IFERROR(VLOOKUP($B98,MMWR_TRAD_AGG_STATE_PEN[],F$1,0),"ERROR")</f>
        <v>21</v>
      </c>
      <c r="G98" s="113">
        <f t="shared" si="8"/>
        <v>5.185185185185185E-2</v>
      </c>
      <c r="H98" s="111">
        <f>IFERROR(VLOOKUP($B98,MMWR_TRAD_AGG_STATE_PEN[],H$1,0),"ERROR")</f>
        <v>299</v>
      </c>
      <c r="I98" s="112">
        <f>IFERROR(VLOOKUP($B98,MMWR_TRAD_AGG_STATE_PEN[],I$1,0),"ERROR")</f>
        <v>8</v>
      </c>
      <c r="J98" s="114">
        <f t="shared" si="9"/>
        <v>2.6755852842809364E-2</v>
      </c>
      <c r="K98" s="111">
        <f>IFERROR(VLOOKUP($B98,MMWR_TRAD_AGG_STATE_PEN[],K$1,0),"ERROR")</f>
        <v>1</v>
      </c>
      <c r="L98" s="112">
        <f>IFERROR(VLOOKUP($B98,MMWR_TRAD_AGG_STATE_PEN[],L$1,0),"ERROR")</f>
        <v>0</v>
      </c>
      <c r="M98" s="114">
        <f t="shared" si="10"/>
        <v>0</v>
      </c>
      <c r="N98" s="111">
        <f>IFERROR(VLOOKUP($B98,MMWR_TRAD_AGG_STATE_PEN[],N$1,0),"ERROR")</f>
        <v>26</v>
      </c>
      <c r="O98" s="112">
        <f>IFERROR(VLOOKUP($B98,MMWR_TRAD_AGG_STATE_PEN[],O$1,0),"ERROR")</f>
        <v>8</v>
      </c>
      <c r="P98" s="114">
        <f t="shared" si="11"/>
        <v>0.30769230769230771</v>
      </c>
      <c r="Q98" s="115">
        <f>IFERROR(VLOOKUP($B98,MMWR_TRAD_AGG_STATE_PEN[],Q$1,0),"ERROR")</f>
        <v>61</v>
      </c>
      <c r="R98" s="115">
        <f>IFERROR(VLOOKUP($B98,MMWR_TRAD_AGG_STATE_PEN[],R$1,0),"ERROR")</f>
        <v>28</v>
      </c>
      <c r="S98" s="115">
        <f>IFERROR(VLOOKUP($B98,MMWR_APP_STATE_PEN[],S$1,0),"ERROR")</f>
        <v>92</v>
      </c>
      <c r="T98" s="28"/>
    </row>
    <row r="99" spans="1:20" s="123" customFormat="1" x14ac:dyDescent="0.2">
      <c r="A99" s="28"/>
      <c r="B99" s="126" t="s">
        <v>385</v>
      </c>
      <c r="C99" s="102">
        <f>IFERROR(VLOOKUP($B99,MMWR_TRAD_AGG_ST_DISTRICT_PEN[],C$1,0),"ERROR")</f>
        <v>1411</v>
      </c>
      <c r="D99" s="103">
        <f>IFERROR(VLOOKUP($B99,MMWR_TRAD_AGG_ST_DISTRICT_PEN[],D$1,0),"ERROR")</f>
        <v>48.352941176500003</v>
      </c>
      <c r="E99" s="102">
        <f>IFERROR(VLOOKUP($B99,MMWR_TRAD_AGG_ST_DISTRICT_PEN[],E$1,0),"ERROR")</f>
        <v>3395</v>
      </c>
      <c r="F99" s="102">
        <f>IFERROR(VLOOKUP($B99,MMWR_TRAD_AGG_ST_DISTRICT_PEN[],F$1,0),"ERROR")</f>
        <v>142</v>
      </c>
      <c r="G99" s="104">
        <f t="shared" si="8"/>
        <v>4.1826215022091308E-2</v>
      </c>
      <c r="H99" s="102">
        <f>IFERROR(VLOOKUP($B99,MMWR_TRAD_AGG_ST_DISTRICT_PEN[],H$1,0),"ERROR")</f>
        <v>2319</v>
      </c>
      <c r="I99" s="102">
        <f>IFERROR(VLOOKUP($B99,MMWR_TRAD_AGG_ST_DISTRICT_PEN[],I$1,0),"ERROR")</f>
        <v>152</v>
      </c>
      <c r="J99" s="104">
        <f t="shared" si="9"/>
        <v>6.5545493747304867E-2</v>
      </c>
      <c r="K99" s="102">
        <f>IFERROR(VLOOKUP($B99,MMWR_TRAD_AGG_ST_DISTRICT_PEN[],K$1,0),"ERROR")</f>
        <v>23</v>
      </c>
      <c r="L99" s="102">
        <f>IFERROR(VLOOKUP($B99,MMWR_TRAD_AGG_ST_DISTRICT_PEN[],L$1,0),"ERROR")</f>
        <v>19</v>
      </c>
      <c r="M99" s="104">
        <f t="shared" si="10"/>
        <v>0.82608695652173914</v>
      </c>
      <c r="N99" s="102">
        <f>IFERROR(VLOOKUP($B99,MMWR_TRAD_AGG_ST_DISTRICT_PEN[],N$1,0),"ERROR")</f>
        <v>174</v>
      </c>
      <c r="O99" s="102">
        <f>IFERROR(VLOOKUP($B99,MMWR_TRAD_AGG_ST_DISTRICT_PEN[],O$1,0),"ERROR")</f>
        <v>61</v>
      </c>
      <c r="P99" s="104">
        <f t="shared" si="11"/>
        <v>0.35057471264367818</v>
      </c>
      <c r="Q99" s="102">
        <f>IFERROR(VLOOKUP($B99,MMWR_TRAD_AGG_ST_DISTRICT_PEN[],Q$1,0),"ERROR")</f>
        <v>2421</v>
      </c>
      <c r="R99" s="106">
        <f>IFERROR(VLOOKUP($B99,MMWR_TRAD_AGG_ST_DISTRICT_PEN[],R$1,0),"ERROR")</f>
        <v>417</v>
      </c>
      <c r="S99" s="106">
        <f>IFERROR(VLOOKUP($B99,MMWR_APP_STATE_PEN[],S$1,0),"ERROR")</f>
        <v>1565</v>
      </c>
      <c r="T99" s="28"/>
    </row>
    <row r="100" spans="1:20" s="123" customFormat="1" x14ac:dyDescent="0.2">
      <c r="A100" s="28"/>
      <c r="B100" s="127" t="s">
        <v>411</v>
      </c>
      <c r="C100" s="109">
        <f>IFERROR(VLOOKUP($B100,MMWR_TRAD_AGG_STATE_PEN[],C$1,0),"ERROR")</f>
        <v>143</v>
      </c>
      <c r="D100" s="110">
        <f>IFERROR(VLOOKUP($B100,MMWR_TRAD_AGG_STATE_PEN[],D$1,0),"ERROR")</f>
        <v>51.783216783199997</v>
      </c>
      <c r="E100" s="111">
        <f>IFERROR(VLOOKUP($B100,MMWR_TRAD_AGG_STATE_PEN[],E$1,0),"ERROR")</f>
        <v>288</v>
      </c>
      <c r="F100" s="112">
        <f>IFERROR(VLOOKUP($B100,MMWR_TRAD_AGG_STATE_PEN[],F$1,0),"ERROR")</f>
        <v>25</v>
      </c>
      <c r="G100" s="113">
        <f t="shared" si="8"/>
        <v>8.6805555555555552E-2</v>
      </c>
      <c r="H100" s="111">
        <f>IFERROR(VLOOKUP($B100,MMWR_TRAD_AGG_STATE_PEN[],H$1,0),"ERROR")</f>
        <v>247</v>
      </c>
      <c r="I100" s="112">
        <f>IFERROR(VLOOKUP($B100,MMWR_TRAD_AGG_STATE_PEN[],I$1,0),"ERROR")</f>
        <v>19</v>
      </c>
      <c r="J100" s="114">
        <f t="shared" si="9"/>
        <v>7.6923076923076927E-2</v>
      </c>
      <c r="K100" s="111">
        <f>IFERROR(VLOOKUP($B100,MMWR_TRAD_AGG_STATE_PEN[],K$1,0),"ERROR")</f>
        <v>5</v>
      </c>
      <c r="L100" s="112">
        <f>IFERROR(VLOOKUP($B100,MMWR_TRAD_AGG_STATE_PEN[],L$1,0),"ERROR")</f>
        <v>4</v>
      </c>
      <c r="M100" s="114">
        <f t="shared" si="10"/>
        <v>0.8</v>
      </c>
      <c r="N100" s="111">
        <f>IFERROR(VLOOKUP($B100,MMWR_TRAD_AGG_STATE_PEN[],N$1,0),"ERROR")</f>
        <v>19</v>
      </c>
      <c r="O100" s="112">
        <f>IFERROR(VLOOKUP($B100,MMWR_TRAD_AGG_STATE_PEN[],O$1,0),"ERROR")</f>
        <v>2</v>
      </c>
      <c r="P100" s="114">
        <f t="shared" si="11"/>
        <v>0.10526315789473684</v>
      </c>
      <c r="Q100" s="115">
        <f>IFERROR(VLOOKUP($B100,MMWR_TRAD_AGG_STATE_PEN[],Q$1,0),"ERROR")</f>
        <v>70</v>
      </c>
      <c r="R100" s="115">
        <f>IFERROR(VLOOKUP($B100,MMWR_TRAD_AGG_STATE_PEN[],R$1,0),"ERROR")</f>
        <v>27</v>
      </c>
      <c r="S100" s="115">
        <f>IFERROR(VLOOKUP($B100,MMWR_APP_STATE_PEN[],S$1,0),"ERROR")</f>
        <v>186</v>
      </c>
      <c r="T100" s="28"/>
    </row>
    <row r="101" spans="1:20" s="123" customFormat="1" x14ac:dyDescent="0.2">
      <c r="A101" s="28"/>
      <c r="B101" s="127" t="s">
        <v>403</v>
      </c>
      <c r="C101" s="109">
        <f>IFERROR(VLOOKUP($B101,MMWR_TRAD_AGG_STATE_PEN[],C$1,0),"ERROR")</f>
        <v>103</v>
      </c>
      <c r="D101" s="110">
        <f>IFERROR(VLOOKUP($B101,MMWR_TRAD_AGG_STATE_PEN[],D$1,0),"ERROR")</f>
        <v>43.067961165</v>
      </c>
      <c r="E101" s="111">
        <f>IFERROR(VLOOKUP($B101,MMWR_TRAD_AGG_STATE_PEN[],E$1,0),"ERROR")</f>
        <v>237</v>
      </c>
      <c r="F101" s="112">
        <f>IFERROR(VLOOKUP($B101,MMWR_TRAD_AGG_STATE_PEN[],F$1,0),"ERROR")</f>
        <v>9</v>
      </c>
      <c r="G101" s="113">
        <f t="shared" ref="G101:G127" si="12">IFERROR(F101/E101,"0%")</f>
        <v>3.7974683544303799E-2</v>
      </c>
      <c r="H101" s="111">
        <f>IFERROR(VLOOKUP($B101,MMWR_TRAD_AGG_STATE_PEN[],H$1,0),"ERROR")</f>
        <v>151</v>
      </c>
      <c r="I101" s="112">
        <f>IFERROR(VLOOKUP($B101,MMWR_TRAD_AGG_STATE_PEN[],I$1,0),"ERROR")</f>
        <v>10</v>
      </c>
      <c r="J101" s="114">
        <f t="shared" ref="J101:J127" si="13">IFERROR(I101/H101,"0%")</f>
        <v>6.6225165562913912E-2</v>
      </c>
      <c r="K101" s="111">
        <f>IFERROR(VLOOKUP($B101,MMWR_TRAD_AGG_STATE_PEN[],K$1,0),"ERROR")</f>
        <v>1</v>
      </c>
      <c r="L101" s="112">
        <f>IFERROR(VLOOKUP($B101,MMWR_TRAD_AGG_STATE_PEN[],L$1,0),"ERROR")</f>
        <v>1</v>
      </c>
      <c r="M101" s="114">
        <f t="shared" ref="M101:M127" si="14">IFERROR(L101/K101,"0%")</f>
        <v>1</v>
      </c>
      <c r="N101" s="111">
        <f>IFERROR(VLOOKUP($B101,MMWR_TRAD_AGG_STATE_PEN[],N$1,0),"ERROR")</f>
        <v>18</v>
      </c>
      <c r="O101" s="112">
        <f>IFERROR(VLOOKUP($B101,MMWR_TRAD_AGG_STATE_PEN[],O$1,0),"ERROR")</f>
        <v>10</v>
      </c>
      <c r="P101" s="114">
        <f t="shared" ref="P101:P127" si="15">IFERROR(O101/N101,"0%")</f>
        <v>0.55555555555555558</v>
      </c>
      <c r="Q101" s="115">
        <f>IFERROR(VLOOKUP($B101,MMWR_TRAD_AGG_STATE_PEN[],Q$1,0),"ERROR")</f>
        <v>269</v>
      </c>
      <c r="R101" s="115">
        <f>IFERROR(VLOOKUP($B101,MMWR_TRAD_AGG_STATE_PEN[],R$1,0),"ERROR")</f>
        <v>28</v>
      </c>
      <c r="S101" s="115">
        <f>IFERROR(VLOOKUP($B101,MMWR_APP_STATE_PEN[],S$1,0),"ERROR")</f>
        <v>116</v>
      </c>
      <c r="T101" s="28"/>
    </row>
    <row r="102" spans="1:20" s="123" customFormat="1" x14ac:dyDescent="0.2">
      <c r="A102" s="28"/>
      <c r="B102" s="127" t="s">
        <v>387</v>
      </c>
      <c r="C102" s="109">
        <f>IFERROR(VLOOKUP($B102,MMWR_TRAD_AGG_STATE_PEN[],C$1,0),"ERROR")</f>
        <v>238</v>
      </c>
      <c r="D102" s="110">
        <f>IFERROR(VLOOKUP($B102,MMWR_TRAD_AGG_STATE_PEN[],D$1,0),"ERROR")</f>
        <v>60.243697478999998</v>
      </c>
      <c r="E102" s="111">
        <f>IFERROR(VLOOKUP($B102,MMWR_TRAD_AGG_STATE_PEN[],E$1,0),"ERROR")</f>
        <v>482</v>
      </c>
      <c r="F102" s="112">
        <f>IFERROR(VLOOKUP($B102,MMWR_TRAD_AGG_STATE_PEN[],F$1,0),"ERROR")</f>
        <v>27</v>
      </c>
      <c r="G102" s="113">
        <f t="shared" si="12"/>
        <v>5.6016597510373446E-2</v>
      </c>
      <c r="H102" s="111">
        <f>IFERROR(VLOOKUP($B102,MMWR_TRAD_AGG_STATE_PEN[],H$1,0),"ERROR")</f>
        <v>356</v>
      </c>
      <c r="I102" s="112">
        <f>IFERROR(VLOOKUP($B102,MMWR_TRAD_AGG_STATE_PEN[],I$1,0),"ERROR")</f>
        <v>26</v>
      </c>
      <c r="J102" s="114">
        <f t="shared" si="13"/>
        <v>7.3033707865168537E-2</v>
      </c>
      <c r="K102" s="111">
        <f>IFERROR(VLOOKUP($B102,MMWR_TRAD_AGG_STATE_PEN[],K$1,0),"ERROR")</f>
        <v>2</v>
      </c>
      <c r="L102" s="112">
        <f>IFERROR(VLOOKUP($B102,MMWR_TRAD_AGG_STATE_PEN[],L$1,0),"ERROR")</f>
        <v>1</v>
      </c>
      <c r="M102" s="114">
        <f t="shared" si="14"/>
        <v>0.5</v>
      </c>
      <c r="N102" s="111">
        <f>IFERROR(VLOOKUP($B102,MMWR_TRAD_AGG_STATE_PEN[],N$1,0),"ERROR")</f>
        <v>29</v>
      </c>
      <c r="O102" s="112">
        <f>IFERROR(VLOOKUP($B102,MMWR_TRAD_AGG_STATE_PEN[],O$1,0),"ERROR")</f>
        <v>3</v>
      </c>
      <c r="P102" s="114">
        <f t="shared" si="15"/>
        <v>0.10344827586206896</v>
      </c>
      <c r="Q102" s="115">
        <f>IFERROR(VLOOKUP($B102,MMWR_TRAD_AGG_STATE_PEN[],Q$1,0),"ERROR")</f>
        <v>75</v>
      </c>
      <c r="R102" s="115">
        <f>IFERROR(VLOOKUP($B102,MMWR_TRAD_AGG_STATE_PEN[],R$1,0),"ERROR")</f>
        <v>67</v>
      </c>
      <c r="S102" s="115">
        <f>IFERROR(VLOOKUP($B102,MMWR_APP_STATE_PEN[],S$1,0),"ERROR")</f>
        <v>198</v>
      </c>
      <c r="T102" s="28"/>
    </row>
    <row r="103" spans="1:20" s="123" customFormat="1" x14ac:dyDescent="0.2">
      <c r="A103" s="28"/>
      <c r="B103" s="127" t="s">
        <v>389</v>
      </c>
      <c r="C103" s="109">
        <f>IFERROR(VLOOKUP($B103,MMWR_TRAD_AGG_STATE_PEN[],C$1,0),"ERROR")</f>
        <v>143</v>
      </c>
      <c r="D103" s="110">
        <f>IFERROR(VLOOKUP($B103,MMWR_TRAD_AGG_STATE_PEN[],D$1,0),"ERROR")</f>
        <v>57.076923076900002</v>
      </c>
      <c r="E103" s="111">
        <f>IFERROR(VLOOKUP($B103,MMWR_TRAD_AGG_STATE_PEN[],E$1,0),"ERROR")</f>
        <v>329</v>
      </c>
      <c r="F103" s="112">
        <f>IFERROR(VLOOKUP($B103,MMWR_TRAD_AGG_STATE_PEN[],F$1,0),"ERROR")</f>
        <v>26</v>
      </c>
      <c r="G103" s="113">
        <f t="shared" si="12"/>
        <v>7.9027355623100301E-2</v>
      </c>
      <c r="H103" s="111">
        <f>IFERROR(VLOOKUP($B103,MMWR_TRAD_AGG_STATE_PEN[],H$1,0),"ERROR")</f>
        <v>236</v>
      </c>
      <c r="I103" s="112">
        <f>IFERROR(VLOOKUP($B103,MMWR_TRAD_AGG_STATE_PEN[],I$1,0),"ERROR")</f>
        <v>24</v>
      </c>
      <c r="J103" s="114">
        <f t="shared" si="13"/>
        <v>0.10169491525423729</v>
      </c>
      <c r="K103" s="111">
        <f>IFERROR(VLOOKUP($B103,MMWR_TRAD_AGG_STATE_PEN[],K$1,0),"ERROR")</f>
        <v>3</v>
      </c>
      <c r="L103" s="112">
        <f>IFERROR(VLOOKUP($B103,MMWR_TRAD_AGG_STATE_PEN[],L$1,0),"ERROR")</f>
        <v>3</v>
      </c>
      <c r="M103" s="114">
        <f t="shared" si="14"/>
        <v>1</v>
      </c>
      <c r="N103" s="111">
        <f>IFERROR(VLOOKUP($B103,MMWR_TRAD_AGG_STATE_PEN[],N$1,0),"ERROR")</f>
        <v>37</v>
      </c>
      <c r="O103" s="112">
        <f>IFERROR(VLOOKUP($B103,MMWR_TRAD_AGG_STATE_PEN[],O$1,0),"ERROR")</f>
        <v>6</v>
      </c>
      <c r="P103" s="114">
        <f t="shared" si="15"/>
        <v>0.16216216216216217</v>
      </c>
      <c r="Q103" s="115">
        <f>IFERROR(VLOOKUP($B103,MMWR_TRAD_AGG_STATE_PEN[],Q$1,0),"ERROR")</f>
        <v>77</v>
      </c>
      <c r="R103" s="115">
        <f>IFERROR(VLOOKUP($B103,MMWR_TRAD_AGG_STATE_PEN[],R$1,0),"ERROR")</f>
        <v>23</v>
      </c>
      <c r="S103" s="115">
        <f>IFERROR(VLOOKUP($B103,MMWR_APP_STATE_PEN[],S$1,0),"ERROR")</f>
        <v>172</v>
      </c>
      <c r="T103" s="28"/>
    </row>
    <row r="104" spans="1:20" s="123" customFormat="1" x14ac:dyDescent="0.2">
      <c r="A104" s="28"/>
      <c r="B104" s="127" t="s">
        <v>418</v>
      </c>
      <c r="C104" s="109">
        <f>IFERROR(VLOOKUP($B104,MMWR_TRAD_AGG_STATE_PEN[],C$1,0),"ERROR")</f>
        <v>25</v>
      </c>
      <c r="D104" s="110">
        <f>IFERROR(VLOOKUP($B104,MMWR_TRAD_AGG_STATE_PEN[],D$1,0),"ERROR")</f>
        <v>40.32</v>
      </c>
      <c r="E104" s="111">
        <f>IFERROR(VLOOKUP($B104,MMWR_TRAD_AGG_STATE_PEN[],E$1,0),"ERROR")</f>
        <v>79</v>
      </c>
      <c r="F104" s="112">
        <f>IFERROR(VLOOKUP($B104,MMWR_TRAD_AGG_STATE_PEN[],F$1,0),"ERROR")</f>
        <v>3</v>
      </c>
      <c r="G104" s="113">
        <f t="shared" si="12"/>
        <v>3.7974683544303799E-2</v>
      </c>
      <c r="H104" s="111">
        <f>IFERROR(VLOOKUP($B104,MMWR_TRAD_AGG_STATE_PEN[],H$1,0),"ERROR")</f>
        <v>48</v>
      </c>
      <c r="I104" s="112">
        <f>IFERROR(VLOOKUP($B104,MMWR_TRAD_AGG_STATE_PEN[],I$1,0),"ERROR")</f>
        <v>3</v>
      </c>
      <c r="J104" s="114">
        <f t="shared" si="13"/>
        <v>6.25E-2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1</v>
      </c>
      <c r="P104" s="114">
        <f t="shared" si="15"/>
        <v>1</v>
      </c>
      <c r="Q104" s="115">
        <f>IFERROR(VLOOKUP($B104,MMWR_TRAD_AGG_STATE_PEN[],Q$1,0),"ERROR")</f>
        <v>87</v>
      </c>
      <c r="R104" s="115">
        <f>IFERROR(VLOOKUP($B104,MMWR_TRAD_AGG_STATE_PEN[],R$1,0),"ERROR")</f>
        <v>5</v>
      </c>
      <c r="S104" s="115">
        <f>IFERROR(VLOOKUP($B104,MMWR_APP_STATE_PEN[],S$1,0),"ERROR")</f>
        <v>7</v>
      </c>
      <c r="T104" s="28"/>
    </row>
    <row r="105" spans="1:20" s="123" customFormat="1" x14ac:dyDescent="0.2">
      <c r="A105" s="28"/>
      <c r="B105" s="127" t="s">
        <v>412</v>
      </c>
      <c r="C105" s="109">
        <f>IFERROR(VLOOKUP($B105,MMWR_TRAD_AGG_STATE_PEN[],C$1,0),"ERROR")</f>
        <v>113</v>
      </c>
      <c r="D105" s="110">
        <f>IFERROR(VLOOKUP($B105,MMWR_TRAD_AGG_STATE_PEN[],D$1,0),"ERROR")</f>
        <v>37.6814159292</v>
      </c>
      <c r="E105" s="111">
        <f>IFERROR(VLOOKUP($B105,MMWR_TRAD_AGG_STATE_PEN[],E$1,0),"ERROR")</f>
        <v>305</v>
      </c>
      <c r="F105" s="112">
        <f>IFERROR(VLOOKUP($B105,MMWR_TRAD_AGG_STATE_PEN[],F$1,0),"ERROR")</f>
        <v>4</v>
      </c>
      <c r="G105" s="113">
        <f t="shared" si="12"/>
        <v>1.3114754098360656E-2</v>
      </c>
      <c r="H105" s="111">
        <f>IFERROR(VLOOKUP($B105,MMWR_TRAD_AGG_STATE_PEN[],H$1,0),"ERROR")</f>
        <v>165</v>
      </c>
      <c r="I105" s="112">
        <f>IFERROR(VLOOKUP($B105,MMWR_TRAD_AGG_STATE_PEN[],I$1,0),"ERROR")</f>
        <v>7</v>
      </c>
      <c r="J105" s="114">
        <f t="shared" si="13"/>
        <v>4.2424242424242427E-2</v>
      </c>
      <c r="K105" s="111">
        <f>IFERROR(VLOOKUP($B105,MMWR_TRAD_AGG_STATE_PEN[],K$1,0),"ERROR")</f>
        <v>2</v>
      </c>
      <c r="L105" s="112">
        <f>IFERROR(VLOOKUP($B105,MMWR_TRAD_AGG_STATE_PEN[],L$1,0),"ERROR")</f>
        <v>2</v>
      </c>
      <c r="M105" s="114">
        <f t="shared" si="14"/>
        <v>1</v>
      </c>
      <c r="N105" s="111">
        <f>IFERROR(VLOOKUP($B105,MMWR_TRAD_AGG_STATE_PEN[],N$1,0),"ERROR")</f>
        <v>10</v>
      </c>
      <c r="O105" s="112">
        <f>IFERROR(VLOOKUP($B105,MMWR_TRAD_AGG_STATE_PEN[],O$1,0),"ERROR")</f>
        <v>7</v>
      </c>
      <c r="P105" s="114">
        <f t="shared" si="15"/>
        <v>0.7</v>
      </c>
      <c r="Q105" s="115">
        <f>IFERROR(VLOOKUP($B105,MMWR_TRAD_AGG_STATE_PEN[],Q$1,0),"ERROR")</f>
        <v>483</v>
      </c>
      <c r="R105" s="115">
        <f>IFERROR(VLOOKUP($B105,MMWR_TRAD_AGG_STATE_PEN[],R$1,0),"ERROR")</f>
        <v>37</v>
      </c>
      <c r="S105" s="115">
        <f>IFERROR(VLOOKUP($B105,MMWR_APP_STATE_PEN[],S$1,0),"ERROR")</f>
        <v>104</v>
      </c>
      <c r="T105" s="28"/>
    </row>
    <row r="106" spans="1:20" s="123" customFormat="1" x14ac:dyDescent="0.2">
      <c r="A106" s="28"/>
      <c r="B106" s="127" t="s">
        <v>410</v>
      </c>
      <c r="C106" s="109">
        <f>IFERROR(VLOOKUP($B106,MMWR_TRAD_AGG_STATE_PEN[],C$1,0),"ERROR")</f>
        <v>573</v>
      </c>
      <c r="D106" s="110">
        <f>IFERROR(VLOOKUP($B106,MMWR_TRAD_AGG_STATE_PEN[],D$1,0),"ERROR")</f>
        <v>44.821989528800003</v>
      </c>
      <c r="E106" s="111">
        <f>IFERROR(VLOOKUP($B106,MMWR_TRAD_AGG_STATE_PEN[],E$1,0),"ERROR")</f>
        <v>1475</v>
      </c>
      <c r="F106" s="112">
        <f>IFERROR(VLOOKUP($B106,MMWR_TRAD_AGG_STATE_PEN[],F$1,0),"ERROR")</f>
        <v>42</v>
      </c>
      <c r="G106" s="113">
        <f t="shared" si="12"/>
        <v>2.8474576271186439E-2</v>
      </c>
      <c r="H106" s="111">
        <f>IFERROR(VLOOKUP($B106,MMWR_TRAD_AGG_STATE_PEN[],H$1,0),"ERROR")</f>
        <v>1015</v>
      </c>
      <c r="I106" s="112">
        <f>IFERROR(VLOOKUP($B106,MMWR_TRAD_AGG_STATE_PEN[],I$1,0),"ERROR")</f>
        <v>60</v>
      </c>
      <c r="J106" s="114">
        <f t="shared" si="13"/>
        <v>5.9113300492610835E-2</v>
      </c>
      <c r="K106" s="111">
        <f>IFERROR(VLOOKUP($B106,MMWR_TRAD_AGG_STATE_PEN[],K$1,0),"ERROR")</f>
        <v>10</v>
      </c>
      <c r="L106" s="112">
        <f>IFERROR(VLOOKUP($B106,MMWR_TRAD_AGG_STATE_PEN[],L$1,0),"ERROR")</f>
        <v>8</v>
      </c>
      <c r="M106" s="114">
        <f t="shared" si="14"/>
        <v>0.8</v>
      </c>
      <c r="N106" s="111">
        <f>IFERROR(VLOOKUP($B106,MMWR_TRAD_AGG_STATE_PEN[],N$1,0),"ERROR")</f>
        <v>56</v>
      </c>
      <c r="O106" s="112">
        <f>IFERROR(VLOOKUP($B106,MMWR_TRAD_AGG_STATE_PEN[],O$1,0),"ERROR")</f>
        <v>30</v>
      </c>
      <c r="P106" s="114">
        <f t="shared" si="15"/>
        <v>0.5357142857142857</v>
      </c>
      <c r="Q106" s="115">
        <f>IFERROR(VLOOKUP($B106,MMWR_TRAD_AGG_STATE_PEN[],Q$1,0),"ERROR")</f>
        <v>1183</v>
      </c>
      <c r="R106" s="115">
        <f>IFERROR(VLOOKUP($B106,MMWR_TRAD_AGG_STATE_PEN[],R$1,0),"ERROR")</f>
        <v>215</v>
      </c>
      <c r="S106" s="115">
        <f>IFERROR(VLOOKUP($B106,MMWR_APP_STATE_PEN[],S$1,0),"ERROR")</f>
        <v>750</v>
      </c>
      <c r="T106" s="28"/>
    </row>
    <row r="107" spans="1:20" s="123" customFormat="1" x14ac:dyDescent="0.2">
      <c r="A107" s="28"/>
      <c r="B107" s="127" t="s">
        <v>406</v>
      </c>
      <c r="C107" s="109">
        <f>IFERROR(VLOOKUP($B107,MMWR_TRAD_AGG_STATE_PEN[],C$1,0),"ERROR")</f>
        <v>62</v>
      </c>
      <c r="D107" s="110">
        <f>IFERROR(VLOOKUP($B107,MMWR_TRAD_AGG_STATE_PEN[],D$1,0),"ERROR")</f>
        <v>38.193548387100002</v>
      </c>
      <c r="E107" s="111">
        <f>IFERROR(VLOOKUP($B107,MMWR_TRAD_AGG_STATE_PEN[],E$1,0),"ERROR")</f>
        <v>180</v>
      </c>
      <c r="F107" s="112">
        <f>IFERROR(VLOOKUP($B107,MMWR_TRAD_AGG_STATE_PEN[],F$1,0),"ERROR")</f>
        <v>6</v>
      </c>
      <c r="G107" s="113">
        <f t="shared" si="12"/>
        <v>3.3333333333333333E-2</v>
      </c>
      <c r="H107" s="111">
        <f>IFERROR(VLOOKUP($B107,MMWR_TRAD_AGG_STATE_PEN[],H$1,0),"ERROR")</f>
        <v>81</v>
      </c>
      <c r="I107" s="112">
        <f>IFERROR(VLOOKUP($B107,MMWR_TRAD_AGG_STATE_PEN[],I$1,0),"ERROR")</f>
        <v>1</v>
      </c>
      <c r="J107" s="114">
        <f t="shared" si="13"/>
        <v>1.2345679012345678E-2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2</v>
      </c>
      <c r="P107" s="114">
        <f t="shared" si="15"/>
        <v>0.5</v>
      </c>
      <c r="Q107" s="115">
        <f>IFERROR(VLOOKUP($B107,MMWR_TRAD_AGG_STATE_PEN[],Q$1,0),"ERROR")</f>
        <v>112</v>
      </c>
      <c r="R107" s="115">
        <f>IFERROR(VLOOKUP($B107,MMWR_TRAD_AGG_STATE_PEN[],R$1,0),"ERROR")</f>
        <v>12</v>
      </c>
      <c r="S107" s="115">
        <f>IFERROR(VLOOKUP($B107,MMWR_APP_STATE_PEN[],S$1,0),"ERROR")</f>
        <v>24</v>
      </c>
      <c r="T107" s="28"/>
    </row>
    <row r="108" spans="1:20" s="123" customFormat="1" x14ac:dyDescent="0.2">
      <c r="A108" s="28"/>
      <c r="B108" s="127" t="s">
        <v>421</v>
      </c>
      <c r="C108" s="109">
        <f>IFERROR(VLOOKUP($B108,MMWR_TRAD_AGG_STATE_PEN[],C$1,0),"ERROR")</f>
        <v>11</v>
      </c>
      <c r="D108" s="110">
        <f>IFERROR(VLOOKUP($B108,MMWR_TRAD_AGG_STATE_PEN[],D$1,0),"ERROR")</f>
        <v>51.636363636399999</v>
      </c>
      <c r="E108" s="111">
        <f>IFERROR(VLOOKUP($B108,MMWR_TRAD_AGG_STATE_PEN[],E$1,0),"ERROR")</f>
        <v>20</v>
      </c>
      <c r="F108" s="112">
        <f>IFERROR(VLOOKUP($B108,MMWR_TRAD_AGG_STATE_PEN[],F$1,0),"ERROR")</f>
        <v>0</v>
      </c>
      <c r="G108" s="113">
        <f t="shared" si="12"/>
        <v>0</v>
      </c>
      <c r="H108" s="111">
        <f>IFERROR(VLOOKUP($B108,MMWR_TRAD_AGG_STATE_PEN[],H$1,0),"ERROR")</f>
        <v>20</v>
      </c>
      <c r="I108" s="112">
        <f>IFERROR(VLOOKUP($B108,MMWR_TRAD_AGG_STATE_PEN[],I$1,0),"ERROR")</f>
        <v>2</v>
      </c>
      <c r="J108" s="114">
        <f t="shared" si="13"/>
        <v>0.1</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65</v>
      </c>
      <c r="R108" s="115">
        <f>IFERROR(VLOOKUP($B108,MMWR_TRAD_AGG_STATE_PEN[],R$1,0),"ERROR")</f>
        <v>3</v>
      </c>
      <c r="S108" s="115">
        <f>IFERROR(VLOOKUP($B108,MMWR_APP_STATE_PEN[],S$1,0),"ERROR")</f>
        <v>8</v>
      </c>
      <c r="T108" s="28"/>
    </row>
    <row r="109" spans="1:20" s="123" customFormat="1" x14ac:dyDescent="0.2">
      <c r="A109" s="28"/>
      <c r="B109" s="126" t="s">
        <v>404</v>
      </c>
      <c r="C109" s="102">
        <f>IFERROR(VLOOKUP($B109,MMWR_TRAD_AGG_ST_DISTRICT_PEN[],C$1,0),"ERROR")</f>
        <v>1239</v>
      </c>
      <c r="D109" s="103">
        <f>IFERROR(VLOOKUP($B109,MMWR_TRAD_AGG_ST_DISTRICT_PEN[],D$1,0),"ERROR")</f>
        <v>43.794995964500004</v>
      </c>
      <c r="E109" s="102">
        <f>IFERROR(VLOOKUP($B109,MMWR_TRAD_AGG_ST_DISTRICT_PEN[],E$1,0),"ERROR")</f>
        <v>3608</v>
      </c>
      <c r="F109" s="102">
        <f>IFERROR(VLOOKUP($B109,MMWR_TRAD_AGG_ST_DISTRICT_PEN[],F$1,0),"ERROR")</f>
        <v>139</v>
      </c>
      <c r="G109" s="104">
        <f t="shared" si="12"/>
        <v>3.8525498891352553E-2</v>
      </c>
      <c r="H109" s="102">
        <f>IFERROR(VLOOKUP($B109,MMWR_TRAD_AGG_ST_DISTRICT_PEN[],H$1,0),"ERROR")</f>
        <v>1943</v>
      </c>
      <c r="I109" s="102">
        <f>IFERROR(VLOOKUP($B109,MMWR_TRAD_AGG_ST_DISTRICT_PEN[],I$1,0),"ERROR")</f>
        <v>103</v>
      </c>
      <c r="J109" s="104">
        <f t="shared" si="13"/>
        <v>5.301080802882141E-2</v>
      </c>
      <c r="K109" s="102">
        <f>IFERROR(VLOOKUP($B109,MMWR_TRAD_AGG_ST_DISTRICT_PEN[],K$1,0),"ERROR")</f>
        <v>17</v>
      </c>
      <c r="L109" s="102">
        <f>IFERROR(VLOOKUP($B109,MMWR_TRAD_AGG_ST_DISTRICT_PEN[],L$1,0),"ERROR")</f>
        <v>14</v>
      </c>
      <c r="M109" s="104">
        <f t="shared" si="14"/>
        <v>0.82352941176470584</v>
      </c>
      <c r="N109" s="102">
        <f>IFERROR(VLOOKUP($B109,MMWR_TRAD_AGG_ST_DISTRICT_PEN[],N$1,0),"ERROR")</f>
        <v>126</v>
      </c>
      <c r="O109" s="102">
        <f>IFERROR(VLOOKUP($B109,MMWR_TRAD_AGG_ST_DISTRICT_PEN[],O$1,0),"ERROR")</f>
        <v>52</v>
      </c>
      <c r="P109" s="104">
        <f t="shared" si="15"/>
        <v>0.41269841269841268</v>
      </c>
      <c r="Q109" s="102">
        <f>IFERROR(VLOOKUP($B109,MMWR_TRAD_AGG_ST_DISTRICT_PEN[],Q$1,0),"ERROR")</f>
        <v>2583</v>
      </c>
      <c r="R109" s="106">
        <f>IFERROR(VLOOKUP($B109,MMWR_TRAD_AGG_ST_DISTRICT_PEN[],R$1,0),"ERROR")</f>
        <v>416</v>
      </c>
      <c r="S109" s="106">
        <f>IFERROR(VLOOKUP($B109,MMWR_APP_STATE_PEN[],S$1,0),"ERROR")</f>
        <v>825</v>
      </c>
      <c r="T109" s="28"/>
    </row>
    <row r="110" spans="1:20" s="123" customFormat="1" x14ac:dyDescent="0.2">
      <c r="A110" s="28"/>
      <c r="B110" s="127" t="s">
        <v>424</v>
      </c>
      <c r="C110" s="109">
        <f>IFERROR(VLOOKUP($B110,MMWR_TRAD_AGG_STATE_PEN[],C$1,0),"ERROR")</f>
        <v>10</v>
      </c>
      <c r="D110" s="110">
        <f>IFERROR(VLOOKUP($B110,MMWR_TRAD_AGG_STATE_PEN[],D$1,0),"ERROR")</f>
        <v>155.80000000000001</v>
      </c>
      <c r="E110" s="111">
        <f>IFERROR(VLOOKUP($B110,MMWR_TRAD_AGG_STATE_PEN[],E$1,0),"ERROR")</f>
        <v>19</v>
      </c>
      <c r="F110" s="112">
        <f>IFERROR(VLOOKUP($B110,MMWR_TRAD_AGG_STATE_PEN[],F$1,0),"ERROR")</f>
        <v>1</v>
      </c>
      <c r="G110" s="113">
        <f t="shared" si="12"/>
        <v>5.2631578947368418E-2</v>
      </c>
      <c r="H110" s="111">
        <f>IFERROR(VLOOKUP($B110,MMWR_TRAD_AGG_STATE_PEN[],H$1,0),"ERROR")</f>
        <v>18</v>
      </c>
      <c r="I110" s="112">
        <f>IFERROR(VLOOKUP($B110,MMWR_TRAD_AGG_STATE_PEN[],I$1,0),"ERROR")</f>
        <v>1</v>
      </c>
      <c r="J110" s="114">
        <f t="shared" si="13"/>
        <v>5.5555555555555552E-2</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0</v>
      </c>
      <c r="P110" s="114">
        <f t="shared" si="15"/>
        <v>0</v>
      </c>
      <c r="Q110" s="115">
        <f>IFERROR(VLOOKUP($B110,MMWR_TRAD_AGG_STATE_PEN[],Q$1,0),"ERROR")</f>
        <v>33</v>
      </c>
      <c r="R110" s="115">
        <f>IFERROR(VLOOKUP($B110,MMWR_TRAD_AGG_STATE_PEN[],R$1,0),"ERROR")</f>
        <v>1</v>
      </c>
      <c r="S110" s="115">
        <f>IFERROR(VLOOKUP($B110,MMWR_APP_STATE_PEN[],S$1,0),"ERROR")</f>
        <v>3</v>
      </c>
      <c r="T110" s="28"/>
    </row>
    <row r="111" spans="1:20" s="123" customFormat="1" x14ac:dyDescent="0.2">
      <c r="A111" s="28"/>
      <c r="B111" s="127" t="s">
        <v>426</v>
      </c>
      <c r="C111" s="109">
        <f>IFERROR(VLOOKUP($B111,MMWR_TRAD_AGG_STATE_PEN[],C$1,0),"ERROR")</f>
        <v>140</v>
      </c>
      <c r="D111" s="110">
        <f>IFERROR(VLOOKUP($B111,MMWR_TRAD_AGG_STATE_PEN[],D$1,0),"ERROR")</f>
        <v>52.1</v>
      </c>
      <c r="E111" s="111">
        <f>IFERROR(VLOOKUP($B111,MMWR_TRAD_AGG_STATE_PEN[],E$1,0),"ERROR")</f>
        <v>466</v>
      </c>
      <c r="F111" s="112">
        <f>IFERROR(VLOOKUP($B111,MMWR_TRAD_AGG_STATE_PEN[],F$1,0),"ERROR")</f>
        <v>30</v>
      </c>
      <c r="G111" s="113">
        <f t="shared" si="12"/>
        <v>6.4377682403433473E-2</v>
      </c>
      <c r="H111" s="111">
        <f>IFERROR(VLOOKUP($B111,MMWR_TRAD_AGG_STATE_PEN[],H$1,0),"ERROR")</f>
        <v>223</v>
      </c>
      <c r="I111" s="112">
        <f>IFERROR(VLOOKUP($B111,MMWR_TRAD_AGG_STATE_PEN[],I$1,0),"ERROR")</f>
        <v>14</v>
      </c>
      <c r="J111" s="114">
        <f t="shared" si="13"/>
        <v>6.2780269058295965E-2</v>
      </c>
      <c r="K111" s="111">
        <f>IFERROR(VLOOKUP($B111,MMWR_TRAD_AGG_STATE_PEN[],K$1,0),"ERROR")</f>
        <v>3</v>
      </c>
      <c r="L111" s="112">
        <f>IFERROR(VLOOKUP($B111,MMWR_TRAD_AGG_STATE_PEN[],L$1,0),"ERROR")</f>
        <v>3</v>
      </c>
      <c r="M111" s="114">
        <f t="shared" si="14"/>
        <v>1</v>
      </c>
      <c r="N111" s="111">
        <f>IFERROR(VLOOKUP($B111,MMWR_TRAD_AGG_STATE_PEN[],N$1,0),"ERROR")</f>
        <v>10</v>
      </c>
      <c r="O111" s="112">
        <f>IFERROR(VLOOKUP($B111,MMWR_TRAD_AGG_STATE_PEN[],O$1,0),"ERROR")</f>
        <v>3</v>
      </c>
      <c r="P111" s="114">
        <f t="shared" si="15"/>
        <v>0.3</v>
      </c>
      <c r="Q111" s="115">
        <f>IFERROR(VLOOKUP($B111,MMWR_TRAD_AGG_STATE_PEN[],Q$1,0),"ERROR")</f>
        <v>326</v>
      </c>
      <c r="R111" s="115">
        <f>IFERROR(VLOOKUP($B111,MMWR_TRAD_AGG_STATE_PEN[],R$1,0),"ERROR")</f>
        <v>50</v>
      </c>
      <c r="S111" s="115">
        <f>IFERROR(VLOOKUP($B111,MMWR_APP_STATE_PEN[],S$1,0),"ERROR")</f>
        <v>141</v>
      </c>
      <c r="T111" s="28"/>
    </row>
    <row r="112" spans="1:20" s="123" customFormat="1" x14ac:dyDescent="0.2">
      <c r="A112" s="28"/>
      <c r="B112" s="127" t="s">
        <v>407</v>
      </c>
      <c r="C112" s="109">
        <f>IFERROR(VLOOKUP($B112,MMWR_TRAD_AGG_STATE_PEN[],C$1,0),"ERROR")</f>
        <v>676</v>
      </c>
      <c r="D112" s="110">
        <f>IFERROR(VLOOKUP($B112,MMWR_TRAD_AGG_STATE_PEN[],D$1,0),"ERROR")</f>
        <v>41.502958579900003</v>
      </c>
      <c r="E112" s="111">
        <f>IFERROR(VLOOKUP($B112,MMWR_TRAD_AGG_STATE_PEN[],E$1,0),"ERROR")</f>
        <v>1919</v>
      </c>
      <c r="F112" s="112">
        <f>IFERROR(VLOOKUP($B112,MMWR_TRAD_AGG_STATE_PEN[],F$1,0),"ERROR")</f>
        <v>76</v>
      </c>
      <c r="G112" s="113">
        <f t="shared" si="12"/>
        <v>3.9603960396039604E-2</v>
      </c>
      <c r="H112" s="111">
        <f>IFERROR(VLOOKUP($B112,MMWR_TRAD_AGG_STATE_PEN[],H$1,0),"ERROR")</f>
        <v>999</v>
      </c>
      <c r="I112" s="112">
        <f>IFERROR(VLOOKUP($B112,MMWR_TRAD_AGG_STATE_PEN[],I$1,0),"ERROR")</f>
        <v>34</v>
      </c>
      <c r="J112" s="114">
        <f t="shared" si="13"/>
        <v>3.4034034034034037E-2</v>
      </c>
      <c r="K112" s="111">
        <f>IFERROR(VLOOKUP($B112,MMWR_TRAD_AGG_STATE_PEN[],K$1,0),"ERROR")</f>
        <v>9</v>
      </c>
      <c r="L112" s="112">
        <f>IFERROR(VLOOKUP($B112,MMWR_TRAD_AGG_STATE_PEN[],L$1,0),"ERROR")</f>
        <v>7</v>
      </c>
      <c r="M112" s="114">
        <f t="shared" si="14"/>
        <v>0.77777777777777779</v>
      </c>
      <c r="N112" s="111">
        <f>IFERROR(VLOOKUP($B112,MMWR_TRAD_AGG_STATE_PEN[],N$1,0),"ERROR")</f>
        <v>66</v>
      </c>
      <c r="O112" s="112">
        <f>IFERROR(VLOOKUP($B112,MMWR_TRAD_AGG_STATE_PEN[],O$1,0),"ERROR")</f>
        <v>33</v>
      </c>
      <c r="P112" s="114">
        <f t="shared" si="15"/>
        <v>0.5</v>
      </c>
      <c r="Q112" s="115">
        <f>IFERROR(VLOOKUP($B112,MMWR_TRAD_AGG_STATE_PEN[],Q$1,0),"ERROR")</f>
        <v>1139</v>
      </c>
      <c r="R112" s="115">
        <f>IFERROR(VLOOKUP($B112,MMWR_TRAD_AGG_STATE_PEN[],R$1,0),"ERROR")</f>
        <v>220</v>
      </c>
      <c r="S112" s="115">
        <f>IFERROR(VLOOKUP($B112,MMWR_APP_STATE_PEN[],S$1,0),"ERROR")</f>
        <v>437</v>
      </c>
      <c r="T112" s="28"/>
    </row>
    <row r="113" spans="1:20" s="123" customFormat="1" x14ac:dyDescent="0.2">
      <c r="A113" s="28"/>
      <c r="B113" s="127" t="s">
        <v>428</v>
      </c>
      <c r="C113" s="109">
        <f>IFERROR(VLOOKUP($B113,MMWR_TRAD_AGG_STATE_PEN[],C$1,0),"ERROR")</f>
        <v>15</v>
      </c>
      <c r="D113" s="110">
        <f>IFERROR(VLOOKUP($B113,MMWR_TRAD_AGG_STATE_PEN[],D$1,0),"ERROR")</f>
        <v>57.333333333299997</v>
      </c>
      <c r="E113" s="111">
        <f>IFERROR(VLOOKUP($B113,MMWR_TRAD_AGG_STATE_PEN[],E$1,0),"ERROR")</f>
        <v>32</v>
      </c>
      <c r="F113" s="112">
        <f>IFERROR(VLOOKUP($B113,MMWR_TRAD_AGG_STATE_PEN[],F$1,0),"ERROR")</f>
        <v>4</v>
      </c>
      <c r="G113" s="113">
        <f t="shared" si="12"/>
        <v>0.125</v>
      </c>
      <c r="H113" s="111">
        <f>IFERROR(VLOOKUP($B113,MMWR_TRAD_AGG_STATE_PEN[],H$1,0),"ERROR")</f>
        <v>21</v>
      </c>
      <c r="I113" s="112">
        <f>IFERROR(VLOOKUP($B113,MMWR_TRAD_AGG_STATE_PEN[],I$1,0),"ERROR")</f>
        <v>2</v>
      </c>
      <c r="J113" s="114">
        <f t="shared" si="13"/>
        <v>9.5238095238095233E-2</v>
      </c>
      <c r="K113" s="111">
        <f>IFERROR(VLOOKUP($B113,MMWR_TRAD_AGG_STATE_PEN[],K$1,0),"ERROR")</f>
        <v>2</v>
      </c>
      <c r="L113" s="112">
        <f>IFERROR(VLOOKUP($B113,MMWR_TRAD_AGG_STATE_PEN[],L$1,0),"ERROR")</f>
        <v>2</v>
      </c>
      <c r="M113" s="114">
        <f t="shared" si="14"/>
        <v>1</v>
      </c>
      <c r="N113" s="111">
        <f>IFERROR(VLOOKUP($B113,MMWR_TRAD_AGG_STATE_PEN[],N$1,0),"ERROR")</f>
        <v>2</v>
      </c>
      <c r="O113" s="112">
        <f>IFERROR(VLOOKUP($B113,MMWR_TRAD_AGG_STATE_PEN[],O$1,0),"ERROR")</f>
        <v>0</v>
      </c>
      <c r="P113" s="114">
        <f t="shared" si="15"/>
        <v>0</v>
      </c>
      <c r="Q113" s="115">
        <f>IFERROR(VLOOKUP($B113,MMWR_TRAD_AGG_STATE_PEN[],Q$1,0),"ERROR")</f>
        <v>55</v>
      </c>
      <c r="R113" s="115">
        <f>IFERROR(VLOOKUP($B113,MMWR_TRAD_AGG_STATE_PEN[],R$1,0),"ERROR")</f>
        <v>6</v>
      </c>
      <c r="S113" s="115">
        <f>IFERROR(VLOOKUP($B113,MMWR_APP_STATE_PEN[],S$1,0),"ERROR")</f>
        <v>12</v>
      </c>
      <c r="T113" s="28"/>
    </row>
    <row r="114" spans="1:20" s="123" customFormat="1" x14ac:dyDescent="0.2">
      <c r="A114" s="28"/>
      <c r="B114" s="127" t="s">
        <v>408</v>
      </c>
      <c r="C114" s="109">
        <f>IFERROR(VLOOKUP($B114,MMWR_TRAD_AGG_STATE_PEN[],C$1,0),"ERROR")</f>
        <v>29</v>
      </c>
      <c r="D114" s="110">
        <f>IFERROR(VLOOKUP($B114,MMWR_TRAD_AGG_STATE_PEN[],D$1,0),"ERROR")</f>
        <v>30.4827586207</v>
      </c>
      <c r="E114" s="111">
        <f>IFERROR(VLOOKUP($B114,MMWR_TRAD_AGG_STATE_PEN[],E$1,0),"ERROR")</f>
        <v>123</v>
      </c>
      <c r="F114" s="112">
        <f>IFERROR(VLOOKUP($B114,MMWR_TRAD_AGG_STATE_PEN[],F$1,0),"ERROR")</f>
        <v>0</v>
      </c>
      <c r="G114" s="113">
        <f t="shared" si="12"/>
        <v>0</v>
      </c>
      <c r="H114" s="111">
        <f>IFERROR(VLOOKUP($B114,MMWR_TRAD_AGG_STATE_PEN[],H$1,0),"ERROR")</f>
        <v>60</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0</v>
      </c>
      <c r="P114" s="114">
        <f t="shared" si="15"/>
        <v>0</v>
      </c>
      <c r="Q114" s="115">
        <f>IFERROR(VLOOKUP($B114,MMWR_TRAD_AGG_STATE_PEN[],Q$1,0),"ERROR")</f>
        <v>98</v>
      </c>
      <c r="R114" s="115">
        <f>IFERROR(VLOOKUP($B114,MMWR_TRAD_AGG_STATE_PEN[],R$1,0),"ERROR")</f>
        <v>10</v>
      </c>
      <c r="S114" s="115">
        <f>IFERROR(VLOOKUP($B114,MMWR_APP_STATE_PEN[],S$1,0),"ERROR")</f>
        <v>14</v>
      </c>
      <c r="T114" s="28"/>
    </row>
    <row r="115" spans="1:20" s="123" customFormat="1" x14ac:dyDescent="0.2">
      <c r="A115" s="28"/>
      <c r="B115" s="127" t="s">
        <v>413</v>
      </c>
      <c r="C115" s="109">
        <f>IFERROR(VLOOKUP($B115,MMWR_TRAD_AGG_STATE_PEN[],C$1,0),"ERROR")</f>
        <v>69</v>
      </c>
      <c r="D115" s="110">
        <f>IFERROR(VLOOKUP($B115,MMWR_TRAD_AGG_STATE_PEN[],D$1,0),"ERROR")</f>
        <v>48.826086956499999</v>
      </c>
      <c r="E115" s="111">
        <f>IFERROR(VLOOKUP($B115,MMWR_TRAD_AGG_STATE_PEN[],E$1,0),"ERROR")</f>
        <v>195</v>
      </c>
      <c r="F115" s="112">
        <f>IFERROR(VLOOKUP($B115,MMWR_TRAD_AGG_STATE_PEN[],F$1,0),"ERROR")</f>
        <v>4</v>
      </c>
      <c r="G115" s="113">
        <f t="shared" si="12"/>
        <v>2.0512820512820513E-2</v>
      </c>
      <c r="H115" s="111">
        <f>IFERROR(VLOOKUP($B115,MMWR_TRAD_AGG_STATE_PEN[],H$1,0),"ERROR")</f>
        <v>104</v>
      </c>
      <c r="I115" s="112">
        <f>IFERROR(VLOOKUP($B115,MMWR_TRAD_AGG_STATE_PEN[],I$1,0),"ERROR")</f>
        <v>10</v>
      </c>
      <c r="J115" s="114">
        <f t="shared" si="13"/>
        <v>9.6153846153846159E-2</v>
      </c>
      <c r="K115" s="111">
        <f>IFERROR(VLOOKUP($B115,MMWR_TRAD_AGG_STATE_PEN[],K$1,0),"ERROR")</f>
        <v>0</v>
      </c>
      <c r="L115" s="112">
        <f>IFERROR(VLOOKUP($B115,MMWR_TRAD_AGG_STATE_PEN[],L$1,0),"ERROR")</f>
        <v>0</v>
      </c>
      <c r="M115" s="114" t="str">
        <f t="shared" si="14"/>
        <v>0%</v>
      </c>
      <c r="N115" s="111">
        <f>IFERROR(VLOOKUP($B115,MMWR_TRAD_AGG_STATE_PEN[],N$1,0),"ERROR")</f>
        <v>9</v>
      </c>
      <c r="O115" s="112">
        <f>IFERROR(VLOOKUP($B115,MMWR_TRAD_AGG_STATE_PEN[],O$1,0),"ERROR")</f>
        <v>5</v>
      </c>
      <c r="P115" s="114">
        <f t="shared" si="15"/>
        <v>0.55555555555555558</v>
      </c>
      <c r="Q115" s="115">
        <f>IFERROR(VLOOKUP($B115,MMWR_TRAD_AGG_STATE_PEN[],Q$1,0),"ERROR")</f>
        <v>112</v>
      </c>
      <c r="R115" s="115">
        <f>IFERROR(VLOOKUP($B115,MMWR_TRAD_AGG_STATE_PEN[],R$1,0),"ERROR")</f>
        <v>23</v>
      </c>
      <c r="S115" s="115">
        <f>IFERROR(VLOOKUP($B115,MMWR_APP_STATE_PEN[],S$1,0),"ERROR")</f>
        <v>39</v>
      </c>
      <c r="T115" s="28"/>
    </row>
    <row r="116" spans="1:20" s="123" customFormat="1" x14ac:dyDescent="0.2">
      <c r="A116" s="28"/>
      <c r="B116" s="127" t="s">
        <v>405</v>
      </c>
      <c r="C116" s="109">
        <f>IFERROR(VLOOKUP($B116,MMWR_TRAD_AGG_STATE_PEN[],C$1,0),"ERROR")</f>
        <v>43</v>
      </c>
      <c r="D116" s="110">
        <f>IFERROR(VLOOKUP($B116,MMWR_TRAD_AGG_STATE_PEN[],D$1,0),"ERROR")</f>
        <v>39.2093023256</v>
      </c>
      <c r="E116" s="111">
        <f>IFERROR(VLOOKUP($B116,MMWR_TRAD_AGG_STATE_PEN[],E$1,0),"ERROR")</f>
        <v>123</v>
      </c>
      <c r="F116" s="112">
        <f>IFERROR(VLOOKUP($B116,MMWR_TRAD_AGG_STATE_PEN[],F$1,0),"ERROR")</f>
        <v>3</v>
      </c>
      <c r="G116" s="113">
        <f t="shared" si="12"/>
        <v>2.4390243902439025E-2</v>
      </c>
      <c r="H116" s="111">
        <f>IFERROR(VLOOKUP($B116,MMWR_TRAD_AGG_STATE_PEN[],H$1,0),"ERROR")</f>
        <v>74</v>
      </c>
      <c r="I116" s="112">
        <f>IFERROR(VLOOKUP($B116,MMWR_TRAD_AGG_STATE_PEN[],I$1,0),"ERROR")</f>
        <v>5</v>
      </c>
      <c r="J116" s="114">
        <f t="shared" si="13"/>
        <v>6.7567567567567571E-2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1</v>
      </c>
      <c r="P116" s="114">
        <f t="shared" si="15"/>
        <v>0.2</v>
      </c>
      <c r="Q116" s="115">
        <f>IFERROR(VLOOKUP($B116,MMWR_TRAD_AGG_STATE_PEN[],Q$1,0),"ERROR")</f>
        <v>165</v>
      </c>
      <c r="R116" s="115">
        <f>IFERROR(VLOOKUP($B116,MMWR_TRAD_AGG_STATE_PEN[],R$1,0),"ERROR")</f>
        <v>15</v>
      </c>
      <c r="S116" s="115">
        <f>IFERROR(VLOOKUP($B116,MMWR_APP_STATE_PEN[],S$1,0),"ERROR")</f>
        <v>34</v>
      </c>
      <c r="T116" s="28"/>
    </row>
    <row r="117" spans="1:20" s="123" customFormat="1" x14ac:dyDescent="0.2">
      <c r="A117" s="28"/>
      <c r="B117" s="127" t="s">
        <v>409</v>
      </c>
      <c r="C117" s="109">
        <f>IFERROR(VLOOKUP($B117,MMWR_TRAD_AGG_STATE_PEN[],C$1,0),"ERROR")</f>
        <v>108</v>
      </c>
      <c r="D117" s="110">
        <f>IFERROR(VLOOKUP($B117,MMWR_TRAD_AGG_STATE_PEN[],D$1,0),"ERROR")</f>
        <v>40.787037036999997</v>
      </c>
      <c r="E117" s="111">
        <f>IFERROR(VLOOKUP($B117,MMWR_TRAD_AGG_STATE_PEN[],E$1,0),"ERROR")</f>
        <v>276</v>
      </c>
      <c r="F117" s="112">
        <f>IFERROR(VLOOKUP($B117,MMWR_TRAD_AGG_STATE_PEN[],F$1,0),"ERROR")</f>
        <v>7</v>
      </c>
      <c r="G117" s="113">
        <f t="shared" si="12"/>
        <v>2.5362318840579712E-2</v>
      </c>
      <c r="H117" s="111">
        <f>IFERROR(VLOOKUP($B117,MMWR_TRAD_AGG_STATE_PEN[],H$1,0),"ERROR")</f>
        <v>163</v>
      </c>
      <c r="I117" s="112">
        <f>IFERROR(VLOOKUP($B117,MMWR_TRAD_AGG_STATE_PEN[],I$1,0),"ERROR")</f>
        <v>11</v>
      </c>
      <c r="J117" s="114">
        <f t="shared" si="13"/>
        <v>6.7484662576687116E-2</v>
      </c>
      <c r="K117" s="111">
        <f>IFERROR(VLOOKUP($B117,MMWR_TRAD_AGG_STATE_PEN[],K$1,0),"ERROR")</f>
        <v>1</v>
      </c>
      <c r="L117" s="112">
        <f>IFERROR(VLOOKUP($B117,MMWR_TRAD_AGG_STATE_PEN[],L$1,0),"ERROR")</f>
        <v>1</v>
      </c>
      <c r="M117" s="114">
        <f t="shared" si="14"/>
        <v>1</v>
      </c>
      <c r="N117" s="111">
        <f>IFERROR(VLOOKUP($B117,MMWR_TRAD_AGG_STATE_PEN[],N$1,0),"ERROR")</f>
        <v>11</v>
      </c>
      <c r="O117" s="112">
        <f>IFERROR(VLOOKUP($B117,MMWR_TRAD_AGG_STATE_PEN[],O$1,0),"ERROR")</f>
        <v>5</v>
      </c>
      <c r="P117" s="114">
        <f t="shared" si="15"/>
        <v>0.45454545454545453</v>
      </c>
      <c r="Q117" s="115">
        <f>IFERROR(VLOOKUP($B117,MMWR_TRAD_AGG_STATE_PEN[],Q$1,0),"ERROR")</f>
        <v>285</v>
      </c>
      <c r="R117" s="115">
        <f>IFERROR(VLOOKUP($B117,MMWR_TRAD_AGG_STATE_PEN[],R$1,0),"ERROR")</f>
        <v>40</v>
      </c>
      <c r="S117" s="115">
        <f>IFERROR(VLOOKUP($B117,MMWR_APP_STATE_PEN[],S$1,0),"ERROR")</f>
        <v>60</v>
      </c>
      <c r="T117" s="28"/>
    </row>
    <row r="118" spans="1:20" s="123" customFormat="1" x14ac:dyDescent="0.2">
      <c r="A118" s="28"/>
      <c r="B118" s="127" t="s">
        <v>83</v>
      </c>
      <c r="C118" s="109">
        <f>IFERROR(VLOOKUP($B118,MMWR_TRAD_AGG_STATE_PEN[],C$1,0),"ERROR")</f>
        <v>149</v>
      </c>
      <c r="D118" s="110">
        <f>IFERROR(VLOOKUP($B118,MMWR_TRAD_AGG_STATE_PEN[],D$1,0),"ERROR")</f>
        <v>41.275167785199997</v>
      </c>
      <c r="E118" s="111">
        <f>IFERROR(VLOOKUP($B118,MMWR_TRAD_AGG_STATE_PEN[],E$1,0),"ERROR")</f>
        <v>455</v>
      </c>
      <c r="F118" s="112">
        <f>IFERROR(VLOOKUP($B118,MMWR_TRAD_AGG_STATE_PEN[],F$1,0),"ERROR")</f>
        <v>14</v>
      </c>
      <c r="G118" s="113">
        <f t="shared" si="12"/>
        <v>3.0769230769230771E-2</v>
      </c>
      <c r="H118" s="111">
        <f>IFERROR(VLOOKUP($B118,MMWR_TRAD_AGG_STATE_PEN[],H$1,0),"ERROR")</f>
        <v>281</v>
      </c>
      <c r="I118" s="112">
        <f>IFERROR(VLOOKUP($B118,MMWR_TRAD_AGG_STATE_PEN[],I$1,0),"ERROR")</f>
        <v>26</v>
      </c>
      <c r="J118" s="114">
        <f t="shared" si="13"/>
        <v>9.2526690391459068E-2</v>
      </c>
      <c r="K118" s="111">
        <f>IFERROR(VLOOKUP($B118,MMWR_TRAD_AGG_STATE_PEN[],K$1,0),"ERROR")</f>
        <v>1</v>
      </c>
      <c r="L118" s="112">
        <f>IFERROR(VLOOKUP($B118,MMWR_TRAD_AGG_STATE_PEN[],L$1,0),"ERROR")</f>
        <v>0</v>
      </c>
      <c r="M118" s="114">
        <f t="shared" si="14"/>
        <v>0</v>
      </c>
      <c r="N118" s="111">
        <f>IFERROR(VLOOKUP($B118,MMWR_TRAD_AGG_STATE_PEN[],N$1,0),"ERROR")</f>
        <v>19</v>
      </c>
      <c r="O118" s="112">
        <f>IFERROR(VLOOKUP($B118,MMWR_TRAD_AGG_STATE_PEN[],O$1,0),"ERROR")</f>
        <v>5</v>
      </c>
      <c r="P118" s="114">
        <f t="shared" si="15"/>
        <v>0.26315789473684209</v>
      </c>
      <c r="Q118" s="115">
        <f>IFERROR(VLOOKUP($B118,MMWR_TRAD_AGG_STATE_PEN[],Q$1,0),"ERROR")</f>
        <v>370</v>
      </c>
      <c r="R118" s="115">
        <f>IFERROR(VLOOKUP($B118,MMWR_TRAD_AGG_STATE_PEN[],R$1,0),"ERROR")</f>
        <v>51</v>
      </c>
      <c r="S118" s="115">
        <f>IFERROR(VLOOKUP($B118,MMWR_APP_STATE_PEN[],S$1,0),"ERROR")</f>
        <v>85</v>
      </c>
      <c r="T118" s="28"/>
    </row>
    <row r="119" spans="1:20" s="123" customFormat="1" x14ac:dyDescent="0.2">
      <c r="A119" s="28"/>
      <c r="B119" s="126" t="s">
        <v>380</v>
      </c>
      <c r="C119" s="102">
        <f>IFERROR(VLOOKUP($B119,MMWR_TRAD_AGG_ST_DISTRICT_PEN[],C$1,0),"ERROR")</f>
        <v>6570</v>
      </c>
      <c r="D119" s="103">
        <f>IFERROR(VLOOKUP($B119,MMWR_TRAD_AGG_ST_DISTRICT_PEN[],D$1,0),"ERROR")</f>
        <v>98.380821917800006</v>
      </c>
      <c r="E119" s="102">
        <f>IFERROR(VLOOKUP($B119,MMWR_TRAD_AGG_ST_DISTRICT_PEN[],E$1,0),"ERROR")</f>
        <v>9009</v>
      </c>
      <c r="F119" s="102">
        <f>IFERROR(VLOOKUP($B119,MMWR_TRAD_AGG_ST_DISTRICT_PEN[],F$1,0),"ERROR")</f>
        <v>1562</v>
      </c>
      <c r="G119" s="104">
        <f t="shared" si="12"/>
        <v>0.17338217338217338</v>
      </c>
      <c r="H119" s="102">
        <f>IFERROR(VLOOKUP($B119,MMWR_TRAD_AGG_ST_DISTRICT_PEN[],H$1,0),"ERROR")</f>
        <v>9341</v>
      </c>
      <c r="I119" s="102">
        <f>IFERROR(VLOOKUP($B119,MMWR_TRAD_AGG_ST_DISTRICT_PEN[],I$1,0),"ERROR")</f>
        <v>2840</v>
      </c>
      <c r="J119" s="104">
        <f t="shared" si="13"/>
        <v>0.30403597045284231</v>
      </c>
      <c r="K119" s="102">
        <f>IFERROR(VLOOKUP($B119,MMWR_TRAD_AGG_ST_DISTRICT_PEN[],K$1,0),"ERROR")</f>
        <v>185</v>
      </c>
      <c r="L119" s="102">
        <f>IFERROR(VLOOKUP($B119,MMWR_TRAD_AGG_ST_DISTRICT_PEN[],L$1,0),"ERROR")</f>
        <v>174</v>
      </c>
      <c r="M119" s="104">
        <f t="shared" si="14"/>
        <v>0.94054054054054059</v>
      </c>
      <c r="N119" s="102">
        <f>IFERROR(VLOOKUP($B119,MMWR_TRAD_AGG_ST_DISTRICT_PEN[],N$1,0),"ERROR")</f>
        <v>561</v>
      </c>
      <c r="O119" s="102">
        <f>IFERROR(VLOOKUP($B119,MMWR_TRAD_AGG_ST_DISTRICT_PEN[],O$1,0),"ERROR")</f>
        <v>183</v>
      </c>
      <c r="P119" s="104">
        <f t="shared" si="15"/>
        <v>0.32620320855614976</v>
      </c>
      <c r="Q119" s="102">
        <f>IFERROR(VLOOKUP($B119,MMWR_TRAD_AGG_ST_DISTRICT_PEN[],Q$1,0),"ERROR")</f>
        <v>1187</v>
      </c>
      <c r="R119" s="106">
        <f>IFERROR(VLOOKUP($B119,MMWR_TRAD_AGG_ST_DISTRICT_PEN[],R$1,0),"ERROR")</f>
        <v>1926</v>
      </c>
      <c r="S119" s="106">
        <f>IFERROR(VLOOKUP($B119,MMWR_APP_STATE_PEN[],S$1,0),"ERROR")</f>
        <v>2015</v>
      </c>
      <c r="T119" s="28"/>
    </row>
    <row r="120" spans="1:20" s="123" customFormat="1" x14ac:dyDescent="0.2">
      <c r="A120" s="28"/>
      <c r="B120" s="127" t="s">
        <v>388</v>
      </c>
      <c r="C120" s="109">
        <f>IFERROR(VLOOKUP($B120,MMWR_TRAD_AGG_STATE_PEN[],C$1,0),"ERROR")</f>
        <v>390</v>
      </c>
      <c r="D120" s="110">
        <f>IFERROR(VLOOKUP($B120,MMWR_TRAD_AGG_STATE_PEN[],D$1,0),"ERROR")</f>
        <v>51.156410256400001</v>
      </c>
      <c r="E120" s="111">
        <f>IFERROR(VLOOKUP($B120,MMWR_TRAD_AGG_STATE_PEN[],E$1,0),"ERROR")</f>
        <v>937</v>
      </c>
      <c r="F120" s="112">
        <f>IFERROR(VLOOKUP($B120,MMWR_TRAD_AGG_STATE_PEN[],F$1,0),"ERROR")</f>
        <v>68</v>
      </c>
      <c r="G120" s="113">
        <f t="shared" si="12"/>
        <v>7.2572038420490925E-2</v>
      </c>
      <c r="H120" s="111">
        <f>IFERROR(VLOOKUP($B120,MMWR_TRAD_AGG_STATE_PEN[],H$1,0),"ERROR")</f>
        <v>602</v>
      </c>
      <c r="I120" s="112">
        <f>IFERROR(VLOOKUP($B120,MMWR_TRAD_AGG_STATE_PEN[],I$1,0),"ERROR")</f>
        <v>33</v>
      </c>
      <c r="J120" s="114">
        <f t="shared" si="13"/>
        <v>5.4817275747508304E-2</v>
      </c>
      <c r="K120" s="111">
        <f>IFERROR(VLOOKUP($B120,MMWR_TRAD_AGG_STATE_PEN[],K$1,0),"ERROR")</f>
        <v>6</v>
      </c>
      <c r="L120" s="112">
        <f>IFERROR(VLOOKUP($B120,MMWR_TRAD_AGG_STATE_PEN[],L$1,0),"ERROR")</f>
        <v>4</v>
      </c>
      <c r="M120" s="114">
        <f t="shared" si="14"/>
        <v>0.66666666666666663</v>
      </c>
      <c r="N120" s="111">
        <f>IFERROR(VLOOKUP($B120,MMWR_TRAD_AGG_STATE_PEN[],N$1,0),"ERROR")</f>
        <v>59</v>
      </c>
      <c r="O120" s="112">
        <f>IFERROR(VLOOKUP($B120,MMWR_TRAD_AGG_STATE_PEN[],O$1,0),"ERROR")</f>
        <v>16</v>
      </c>
      <c r="P120" s="114">
        <f t="shared" si="15"/>
        <v>0.2711864406779661</v>
      </c>
      <c r="Q120" s="115">
        <f>IFERROR(VLOOKUP($B120,MMWR_TRAD_AGG_STATE_PEN[],Q$1,0),"ERROR")</f>
        <v>122</v>
      </c>
      <c r="R120" s="115">
        <f>IFERROR(VLOOKUP($B120,MMWR_TRAD_AGG_STATE_PEN[],R$1,0),"ERROR")</f>
        <v>98</v>
      </c>
      <c r="S120" s="115">
        <f>IFERROR(VLOOKUP($B120,MMWR_APP_STATE_PEN[],S$1,0),"ERROR")</f>
        <v>282</v>
      </c>
      <c r="T120" s="28"/>
    </row>
    <row r="121" spans="1:20" s="123" customFormat="1" x14ac:dyDescent="0.2">
      <c r="A121" s="28"/>
      <c r="B121" s="127" t="s">
        <v>425</v>
      </c>
      <c r="C121" s="109">
        <f>IFERROR(VLOOKUP($B121,MMWR_TRAD_AGG_STATE_PEN[],C$1,0),"ERROR")</f>
        <v>2526</v>
      </c>
      <c r="D121" s="110">
        <f>IFERROR(VLOOKUP($B121,MMWR_TRAD_AGG_STATE_PEN[],D$1,0),"ERROR")</f>
        <v>102.104908947</v>
      </c>
      <c r="E121" s="111">
        <f>IFERROR(VLOOKUP($B121,MMWR_TRAD_AGG_STATE_PEN[],E$1,0),"ERROR")</f>
        <v>3637</v>
      </c>
      <c r="F121" s="112">
        <f>IFERROR(VLOOKUP($B121,MMWR_TRAD_AGG_STATE_PEN[],F$1,0),"ERROR")</f>
        <v>732</v>
      </c>
      <c r="G121" s="113">
        <f t="shared" si="12"/>
        <v>0.20126477866373385</v>
      </c>
      <c r="H121" s="111">
        <f>IFERROR(VLOOKUP($B121,MMWR_TRAD_AGG_STATE_PEN[],H$1,0),"ERROR")</f>
        <v>3448</v>
      </c>
      <c r="I121" s="112">
        <f>IFERROR(VLOOKUP($B121,MMWR_TRAD_AGG_STATE_PEN[],I$1,0),"ERROR")</f>
        <v>1159</v>
      </c>
      <c r="J121" s="114">
        <f t="shared" si="13"/>
        <v>0.33613689095127608</v>
      </c>
      <c r="K121" s="111">
        <f>IFERROR(VLOOKUP($B121,MMWR_TRAD_AGG_STATE_PEN[],K$1,0),"ERROR")</f>
        <v>89</v>
      </c>
      <c r="L121" s="112">
        <f>IFERROR(VLOOKUP($B121,MMWR_TRAD_AGG_STATE_PEN[],L$1,0),"ERROR")</f>
        <v>86</v>
      </c>
      <c r="M121" s="114">
        <f t="shared" si="14"/>
        <v>0.9662921348314607</v>
      </c>
      <c r="N121" s="111">
        <f>IFERROR(VLOOKUP($B121,MMWR_TRAD_AGG_STATE_PEN[],N$1,0),"ERROR")</f>
        <v>191</v>
      </c>
      <c r="O121" s="112">
        <f>IFERROR(VLOOKUP($B121,MMWR_TRAD_AGG_STATE_PEN[],O$1,0),"ERROR")</f>
        <v>66</v>
      </c>
      <c r="P121" s="114">
        <f t="shared" si="15"/>
        <v>0.34554973821989526</v>
      </c>
      <c r="Q121" s="115">
        <f>IFERROR(VLOOKUP($B121,MMWR_TRAD_AGG_STATE_PEN[],Q$1,0),"ERROR")</f>
        <v>450</v>
      </c>
      <c r="R121" s="115">
        <f>IFERROR(VLOOKUP($B121,MMWR_TRAD_AGG_STATE_PEN[],R$1,0),"ERROR")</f>
        <v>775</v>
      </c>
      <c r="S121" s="115">
        <f>IFERROR(VLOOKUP($B121,MMWR_APP_STATE_PEN[],S$1,0),"ERROR")</f>
        <v>629</v>
      </c>
      <c r="T121" s="28"/>
    </row>
    <row r="122" spans="1:20" s="123" customFormat="1" x14ac:dyDescent="0.2">
      <c r="A122" s="28"/>
      <c r="B122" s="127" t="s">
        <v>381</v>
      </c>
      <c r="C122" s="109">
        <f>IFERROR(VLOOKUP($B122,MMWR_TRAD_AGG_STATE_PEN[],C$1,0),"ERROR")</f>
        <v>1298</v>
      </c>
      <c r="D122" s="110">
        <f>IFERROR(VLOOKUP($B122,MMWR_TRAD_AGG_STATE_PEN[],D$1,0),"ERROR")</f>
        <v>109.4714946071</v>
      </c>
      <c r="E122" s="111">
        <f>IFERROR(VLOOKUP($B122,MMWR_TRAD_AGG_STATE_PEN[],E$1,0),"ERROR")</f>
        <v>1678</v>
      </c>
      <c r="F122" s="112">
        <f>IFERROR(VLOOKUP($B122,MMWR_TRAD_AGG_STATE_PEN[],F$1,0),"ERROR")</f>
        <v>336</v>
      </c>
      <c r="G122" s="113">
        <f t="shared" si="12"/>
        <v>0.20023837902264602</v>
      </c>
      <c r="H122" s="111">
        <f>IFERROR(VLOOKUP($B122,MMWR_TRAD_AGG_STATE_PEN[],H$1,0),"ERROR")</f>
        <v>1774</v>
      </c>
      <c r="I122" s="112">
        <f>IFERROR(VLOOKUP($B122,MMWR_TRAD_AGG_STATE_PEN[],I$1,0),"ERROR")</f>
        <v>635</v>
      </c>
      <c r="J122" s="114">
        <f t="shared" si="13"/>
        <v>0.3579481397970688</v>
      </c>
      <c r="K122" s="111">
        <f>IFERROR(VLOOKUP($B122,MMWR_TRAD_AGG_STATE_PEN[],K$1,0),"ERROR")</f>
        <v>54</v>
      </c>
      <c r="L122" s="112">
        <f>IFERROR(VLOOKUP($B122,MMWR_TRAD_AGG_STATE_PEN[],L$1,0),"ERROR")</f>
        <v>52</v>
      </c>
      <c r="M122" s="114">
        <f t="shared" si="14"/>
        <v>0.96296296296296291</v>
      </c>
      <c r="N122" s="111">
        <f>IFERROR(VLOOKUP($B122,MMWR_TRAD_AGG_STATE_PEN[],N$1,0),"ERROR")</f>
        <v>141</v>
      </c>
      <c r="O122" s="112">
        <f>IFERROR(VLOOKUP($B122,MMWR_TRAD_AGG_STATE_PEN[],O$1,0),"ERROR")</f>
        <v>45</v>
      </c>
      <c r="P122" s="114">
        <f t="shared" si="15"/>
        <v>0.31914893617021278</v>
      </c>
      <c r="Q122" s="115">
        <f>IFERROR(VLOOKUP($B122,MMWR_TRAD_AGG_STATE_PEN[],Q$1,0),"ERROR")</f>
        <v>193</v>
      </c>
      <c r="R122" s="115">
        <f>IFERROR(VLOOKUP($B122,MMWR_TRAD_AGG_STATE_PEN[],R$1,0),"ERROR")</f>
        <v>508</v>
      </c>
      <c r="S122" s="115">
        <f>IFERROR(VLOOKUP($B122,MMWR_APP_STATE_PEN[],S$1,0),"ERROR")</f>
        <v>391</v>
      </c>
      <c r="T122" s="28"/>
    </row>
    <row r="123" spans="1:20" s="123" customFormat="1" x14ac:dyDescent="0.2">
      <c r="A123" s="28"/>
      <c r="B123" s="127" t="s">
        <v>393</v>
      </c>
      <c r="C123" s="109">
        <f>IFERROR(VLOOKUP($B123,MMWR_TRAD_AGG_STATE_PEN[],C$1,0),"ERROR")</f>
        <v>175</v>
      </c>
      <c r="D123" s="110">
        <f>IFERROR(VLOOKUP($B123,MMWR_TRAD_AGG_STATE_PEN[],D$1,0),"ERROR")</f>
        <v>55.7657142857</v>
      </c>
      <c r="E123" s="111">
        <f>IFERROR(VLOOKUP($B123,MMWR_TRAD_AGG_STATE_PEN[],E$1,0),"ERROR")</f>
        <v>433</v>
      </c>
      <c r="F123" s="112">
        <f>IFERROR(VLOOKUP($B123,MMWR_TRAD_AGG_STATE_PEN[],F$1,0),"ERROR")</f>
        <v>34</v>
      </c>
      <c r="G123" s="113">
        <f t="shared" si="12"/>
        <v>7.8521939953810627E-2</v>
      </c>
      <c r="H123" s="111">
        <f>IFERROR(VLOOKUP($B123,MMWR_TRAD_AGG_STATE_PEN[],H$1,0),"ERROR")</f>
        <v>295</v>
      </c>
      <c r="I123" s="112">
        <f>IFERROR(VLOOKUP($B123,MMWR_TRAD_AGG_STATE_PEN[],I$1,0),"ERROR")</f>
        <v>23</v>
      </c>
      <c r="J123" s="114">
        <f t="shared" si="13"/>
        <v>7.796610169491526E-2</v>
      </c>
      <c r="K123" s="111">
        <f>IFERROR(VLOOKUP($B123,MMWR_TRAD_AGG_STATE_PEN[],K$1,0),"ERROR")</f>
        <v>2</v>
      </c>
      <c r="L123" s="112">
        <f>IFERROR(VLOOKUP($B123,MMWR_TRAD_AGG_STATE_PEN[],L$1,0),"ERROR")</f>
        <v>1</v>
      </c>
      <c r="M123" s="114">
        <f t="shared" si="14"/>
        <v>0.5</v>
      </c>
      <c r="N123" s="111">
        <f>IFERROR(VLOOKUP($B123,MMWR_TRAD_AGG_STATE_PEN[],N$1,0),"ERROR")</f>
        <v>44</v>
      </c>
      <c r="O123" s="112">
        <f>IFERROR(VLOOKUP($B123,MMWR_TRAD_AGG_STATE_PEN[],O$1,0),"ERROR")</f>
        <v>10</v>
      </c>
      <c r="P123" s="114">
        <f t="shared" si="15"/>
        <v>0.22727272727272727</v>
      </c>
      <c r="Q123" s="115">
        <f>IFERROR(VLOOKUP($B123,MMWR_TRAD_AGG_STATE_PEN[],Q$1,0),"ERROR")</f>
        <v>65</v>
      </c>
      <c r="R123" s="115">
        <f>IFERROR(VLOOKUP($B123,MMWR_TRAD_AGG_STATE_PEN[],R$1,0),"ERROR")</f>
        <v>65</v>
      </c>
      <c r="S123" s="115">
        <f>IFERROR(VLOOKUP($B123,MMWR_APP_STATE_PEN[],S$1,0),"ERROR")</f>
        <v>141</v>
      </c>
      <c r="T123" s="28"/>
    </row>
    <row r="124" spans="1:20" s="123" customFormat="1" x14ac:dyDescent="0.2">
      <c r="A124" s="28"/>
      <c r="B124" s="127" t="s">
        <v>427</v>
      </c>
      <c r="C124" s="109">
        <f>IFERROR(VLOOKUP($B124,MMWR_TRAD_AGG_STATE_PEN[],C$1,0),"ERROR")</f>
        <v>968</v>
      </c>
      <c r="D124" s="110">
        <f>IFERROR(VLOOKUP($B124,MMWR_TRAD_AGG_STATE_PEN[],D$1,0),"ERROR")</f>
        <v>106.3088842975</v>
      </c>
      <c r="E124" s="111">
        <f>IFERROR(VLOOKUP($B124,MMWR_TRAD_AGG_STATE_PEN[],E$1,0),"ERROR")</f>
        <v>641</v>
      </c>
      <c r="F124" s="112">
        <f>IFERROR(VLOOKUP($B124,MMWR_TRAD_AGG_STATE_PEN[],F$1,0),"ERROR")</f>
        <v>118</v>
      </c>
      <c r="G124" s="113">
        <f t="shared" si="12"/>
        <v>0.18408736349453977</v>
      </c>
      <c r="H124" s="111">
        <f>IFERROR(VLOOKUP($B124,MMWR_TRAD_AGG_STATE_PEN[],H$1,0),"ERROR")</f>
        <v>1485</v>
      </c>
      <c r="I124" s="112">
        <f>IFERROR(VLOOKUP($B124,MMWR_TRAD_AGG_STATE_PEN[],I$1,0),"ERROR")</f>
        <v>508</v>
      </c>
      <c r="J124" s="114">
        <f t="shared" si="13"/>
        <v>0.34208754208754211</v>
      </c>
      <c r="K124" s="111">
        <f>IFERROR(VLOOKUP($B124,MMWR_TRAD_AGG_STATE_PEN[],K$1,0),"ERROR")</f>
        <v>15</v>
      </c>
      <c r="L124" s="112">
        <f>IFERROR(VLOOKUP($B124,MMWR_TRAD_AGG_STATE_PEN[],L$1,0),"ERROR")</f>
        <v>14</v>
      </c>
      <c r="M124" s="114">
        <f t="shared" si="14"/>
        <v>0.93333333333333335</v>
      </c>
      <c r="N124" s="111">
        <f>IFERROR(VLOOKUP($B124,MMWR_TRAD_AGG_STATE_PEN[],N$1,0),"ERROR")</f>
        <v>21</v>
      </c>
      <c r="O124" s="112">
        <f>IFERROR(VLOOKUP($B124,MMWR_TRAD_AGG_STATE_PEN[],O$1,0),"ERROR")</f>
        <v>14</v>
      </c>
      <c r="P124" s="114">
        <f t="shared" si="15"/>
        <v>0.66666666666666663</v>
      </c>
      <c r="Q124" s="115">
        <f>IFERROR(VLOOKUP($B124,MMWR_TRAD_AGG_STATE_PEN[],Q$1,0),"ERROR")</f>
        <v>84</v>
      </c>
      <c r="R124" s="115">
        <f>IFERROR(VLOOKUP($B124,MMWR_TRAD_AGG_STATE_PEN[],R$1,0),"ERROR")</f>
        <v>128</v>
      </c>
      <c r="S124" s="115">
        <f>IFERROR(VLOOKUP($B124,MMWR_APP_STATE_PEN[],S$1,0),"ERROR")</f>
        <v>139</v>
      </c>
      <c r="T124" s="28"/>
    </row>
    <row r="125" spans="1:20" s="123" customFormat="1" x14ac:dyDescent="0.2">
      <c r="A125" s="28"/>
      <c r="B125" s="127" t="s">
        <v>383</v>
      </c>
      <c r="C125" s="109">
        <f>IFERROR(VLOOKUP($B125,MMWR_TRAD_AGG_STATE_PEN[],C$1,0),"ERROR")</f>
        <v>893</v>
      </c>
      <c r="D125" s="110">
        <f>IFERROR(VLOOKUP($B125,MMWR_TRAD_AGG_STATE_PEN[],D$1,0),"ERROR")</f>
        <v>106.9652855543</v>
      </c>
      <c r="E125" s="111">
        <f>IFERROR(VLOOKUP($B125,MMWR_TRAD_AGG_STATE_PEN[],E$1,0),"ERROR")</f>
        <v>962</v>
      </c>
      <c r="F125" s="112">
        <f>IFERROR(VLOOKUP($B125,MMWR_TRAD_AGG_STATE_PEN[],F$1,0),"ERROR")</f>
        <v>223</v>
      </c>
      <c r="G125" s="113">
        <f t="shared" si="12"/>
        <v>0.23180873180873182</v>
      </c>
      <c r="H125" s="111">
        <f>IFERROR(VLOOKUP($B125,MMWR_TRAD_AGG_STATE_PEN[],H$1,0),"ERROR")</f>
        <v>1226</v>
      </c>
      <c r="I125" s="112">
        <f>IFERROR(VLOOKUP($B125,MMWR_TRAD_AGG_STATE_PEN[],I$1,0),"ERROR")</f>
        <v>438</v>
      </c>
      <c r="J125" s="114">
        <f t="shared" si="13"/>
        <v>0.35725938009787928</v>
      </c>
      <c r="K125" s="111">
        <f>IFERROR(VLOOKUP($B125,MMWR_TRAD_AGG_STATE_PEN[],K$1,0),"ERROR")</f>
        <v>16</v>
      </c>
      <c r="L125" s="112">
        <f>IFERROR(VLOOKUP($B125,MMWR_TRAD_AGG_STATE_PEN[],L$1,0),"ERROR")</f>
        <v>14</v>
      </c>
      <c r="M125" s="114">
        <f t="shared" si="14"/>
        <v>0.875</v>
      </c>
      <c r="N125" s="111">
        <f>IFERROR(VLOOKUP($B125,MMWR_TRAD_AGG_STATE_PEN[],N$1,0),"ERROR")</f>
        <v>54</v>
      </c>
      <c r="O125" s="112">
        <f>IFERROR(VLOOKUP($B125,MMWR_TRAD_AGG_STATE_PEN[],O$1,0),"ERROR")</f>
        <v>19</v>
      </c>
      <c r="P125" s="114">
        <f t="shared" si="15"/>
        <v>0.35185185185185186</v>
      </c>
      <c r="Q125" s="115">
        <f>IFERROR(VLOOKUP($B125,MMWR_TRAD_AGG_STATE_PEN[],Q$1,0),"ERROR")</f>
        <v>159</v>
      </c>
      <c r="R125" s="115">
        <f>IFERROR(VLOOKUP($B125,MMWR_TRAD_AGG_STATE_PEN[],R$1,0),"ERROR")</f>
        <v>286</v>
      </c>
      <c r="S125" s="115">
        <f>IFERROR(VLOOKUP($B125,MMWR_APP_STATE_PEN[],S$1,0),"ERROR")</f>
        <v>180</v>
      </c>
      <c r="T125" s="28"/>
    </row>
    <row r="126" spans="1:20" s="123" customFormat="1" x14ac:dyDescent="0.2">
      <c r="A126" s="28"/>
      <c r="B126" s="127" t="s">
        <v>384</v>
      </c>
      <c r="C126" s="109">
        <f>IFERROR(VLOOKUP($B126,MMWR_TRAD_AGG_STATE_PEN[],C$1,0),"ERROR")</f>
        <v>320</v>
      </c>
      <c r="D126" s="110">
        <f>IFERROR(VLOOKUP($B126,MMWR_TRAD_AGG_STATE_PEN[],D$1,0),"ERROR")</f>
        <v>56.918750000000003</v>
      </c>
      <c r="E126" s="111">
        <f>IFERROR(VLOOKUP($B126,MMWR_TRAD_AGG_STATE_PEN[],E$1,0),"ERROR")</f>
        <v>721</v>
      </c>
      <c r="F126" s="112">
        <f>IFERROR(VLOOKUP($B126,MMWR_TRAD_AGG_STATE_PEN[],F$1,0),"ERROR")</f>
        <v>51</v>
      </c>
      <c r="G126" s="113">
        <f t="shared" si="12"/>
        <v>7.0735090152565877E-2</v>
      </c>
      <c r="H126" s="111">
        <f>IFERROR(VLOOKUP($B126,MMWR_TRAD_AGG_STATE_PEN[],H$1,0),"ERROR")</f>
        <v>511</v>
      </c>
      <c r="I126" s="112">
        <f>IFERROR(VLOOKUP($B126,MMWR_TRAD_AGG_STATE_PEN[],I$1,0),"ERROR")</f>
        <v>44</v>
      </c>
      <c r="J126" s="114">
        <f t="shared" si="13"/>
        <v>8.6105675146771032E-2</v>
      </c>
      <c r="K126" s="111">
        <f>IFERROR(VLOOKUP($B126,MMWR_TRAD_AGG_STATE_PEN[],K$1,0),"ERROR")</f>
        <v>3</v>
      </c>
      <c r="L126" s="112">
        <f>IFERROR(VLOOKUP($B126,MMWR_TRAD_AGG_STATE_PEN[],L$1,0),"ERROR")</f>
        <v>3</v>
      </c>
      <c r="M126" s="114">
        <f t="shared" si="14"/>
        <v>1</v>
      </c>
      <c r="N126" s="111">
        <f>IFERROR(VLOOKUP($B126,MMWR_TRAD_AGG_STATE_PEN[],N$1,0),"ERROR")</f>
        <v>51</v>
      </c>
      <c r="O126" s="112">
        <f>IFERROR(VLOOKUP($B126,MMWR_TRAD_AGG_STATE_PEN[],O$1,0),"ERROR")</f>
        <v>13</v>
      </c>
      <c r="P126" s="114">
        <f t="shared" si="15"/>
        <v>0.25490196078431371</v>
      </c>
      <c r="Q126" s="115">
        <f>IFERROR(VLOOKUP($B126,MMWR_TRAD_AGG_STATE_PEN[],Q$1,0),"ERROR")</f>
        <v>114</v>
      </c>
      <c r="R126" s="115">
        <f>IFERROR(VLOOKUP($B126,MMWR_TRAD_AGG_STATE_PEN[],R$1,0),"ERROR")</f>
        <v>66</v>
      </c>
      <c r="S126" s="115">
        <f>IFERROR(VLOOKUP($B126,MMWR_APP_STATE_PEN[],S$1,0),"ERROR")</f>
        <v>253</v>
      </c>
      <c r="T126" s="28"/>
    </row>
    <row r="127" spans="1:20" s="123" customFormat="1" x14ac:dyDescent="0.2">
      <c r="A127" s="28"/>
      <c r="B127" s="128" t="s">
        <v>8</v>
      </c>
      <c r="C127" s="102">
        <f>IFERROR(VLOOKUP($B127,MMWR_TRAD_AGG_ST_DISTRICT_PEN[],C$1,0),"ERROR")</f>
        <v>140</v>
      </c>
      <c r="D127" s="103">
        <f>IFERROR(VLOOKUP($B127,MMWR_TRAD_AGG_ST_DISTRICT_PEN[],D$1,0),"ERROR")</f>
        <v>107.35</v>
      </c>
      <c r="E127" s="102">
        <f>IFERROR(VLOOKUP($B127,MMWR_TRAD_AGG_ST_DISTRICT_PEN[],E$1,0),"ERROR")</f>
        <v>201</v>
      </c>
      <c r="F127" s="102">
        <f>IFERROR(VLOOKUP($B127,MMWR_TRAD_AGG_ST_DISTRICT_PEN[],F$1,0),"ERROR")</f>
        <v>84</v>
      </c>
      <c r="G127" s="104">
        <f t="shared" si="12"/>
        <v>0.41791044776119401</v>
      </c>
      <c r="H127" s="102">
        <f>IFERROR(VLOOKUP($B127,MMWR_TRAD_AGG_ST_DISTRICT_PEN[],H$1,0),"ERROR")</f>
        <v>298</v>
      </c>
      <c r="I127" s="102">
        <f>IFERROR(VLOOKUP($B127,MMWR_TRAD_AGG_ST_DISTRICT_PEN[],I$1,0),"ERROR")</f>
        <v>161</v>
      </c>
      <c r="J127" s="104">
        <f t="shared" si="13"/>
        <v>0.54026845637583898</v>
      </c>
      <c r="K127" s="102">
        <f>IFERROR(VLOOKUP($B127,MMWR_TRAD_AGG_ST_DISTRICT_PEN[],K$1,0),"ERROR")</f>
        <v>13</v>
      </c>
      <c r="L127" s="102">
        <f>IFERROR(VLOOKUP($B127,MMWR_TRAD_AGG_ST_DISTRICT_PEN[],L$1,0),"ERROR")</f>
        <v>10</v>
      </c>
      <c r="M127" s="104">
        <f t="shared" si="14"/>
        <v>0.76923076923076927</v>
      </c>
      <c r="N127" s="102">
        <f>IFERROR(VLOOKUP($B127,MMWR_TRAD_AGG_ST_DISTRICT_PEN[],N$1,0),"ERROR")</f>
        <v>9</v>
      </c>
      <c r="O127" s="102">
        <f>IFERROR(VLOOKUP($B127,MMWR_TRAD_AGG_ST_DISTRICT_PEN[],O$1,0),"ERROR")</f>
        <v>6</v>
      </c>
      <c r="P127" s="104">
        <f t="shared" si="15"/>
        <v>0.66666666666666663</v>
      </c>
      <c r="Q127" s="102">
        <f>IFERROR(VLOOKUP($B127,MMWR_TRAD_AGG_ST_DISTRICT_PEN[],Q$1,0),"ERROR")</f>
        <v>44</v>
      </c>
      <c r="R127" s="106">
        <f>IFERROR(VLOOKUP($B127,MMWR_TRAD_AGG_ST_DISTRICT_PEN[],R$1,0),"ERROR")</f>
        <v>16</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653</v>
      </c>
      <c r="C2" t="s">
        <v>456</v>
      </c>
      <c r="D2" t="s">
        <v>458</v>
      </c>
      <c r="F2" t="s">
        <v>652</v>
      </c>
      <c r="G2" t="s">
        <v>305</v>
      </c>
      <c r="H2" t="s">
        <v>136</v>
      </c>
      <c r="I2" t="s">
        <v>217</v>
      </c>
      <c r="J2" t="s">
        <v>218</v>
      </c>
      <c r="K2" t="s">
        <v>219</v>
      </c>
      <c r="L2" t="s">
        <v>220</v>
      </c>
      <c r="M2" t="s">
        <v>221</v>
      </c>
      <c r="N2" t="s">
        <v>222</v>
      </c>
      <c r="O2" t="s">
        <v>223</v>
      </c>
      <c r="P2" t="s">
        <v>224</v>
      </c>
      <c r="Q2" t="s">
        <v>225</v>
      </c>
      <c r="R2" t="s">
        <v>226</v>
      </c>
      <c r="T2" t="s">
        <v>651</v>
      </c>
      <c r="U2" t="s">
        <v>305</v>
      </c>
      <c r="V2" t="s">
        <v>136</v>
      </c>
      <c r="W2" t="s">
        <v>217</v>
      </c>
      <c r="X2" t="s">
        <v>459</v>
      </c>
      <c r="Y2" t="s">
        <v>219</v>
      </c>
      <c r="Z2" t="s">
        <v>220</v>
      </c>
      <c r="AA2" t="s">
        <v>221</v>
      </c>
      <c r="AB2" t="s">
        <v>460</v>
      </c>
      <c r="AC2" t="s">
        <v>223</v>
      </c>
      <c r="AD2" t="s">
        <v>224</v>
      </c>
      <c r="AE2" t="s">
        <v>225</v>
      </c>
      <c r="AF2" t="s">
        <v>226</v>
      </c>
      <c r="AH2" t="s">
        <v>650</v>
      </c>
      <c r="AI2" t="s">
        <v>305</v>
      </c>
      <c r="AJ2" t="s">
        <v>136</v>
      </c>
      <c r="AK2" t="s">
        <v>217</v>
      </c>
      <c r="AL2" t="s">
        <v>218</v>
      </c>
      <c r="AM2" t="s">
        <v>219</v>
      </c>
      <c r="AN2" t="s">
        <v>220</v>
      </c>
      <c r="AO2" t="s">
        <v>221</v>
      </c>
      <c r="AP2" t="s">
        <v>222</v>
      </c>
      <c r="AQ2" t="s">
        <v>223</v>
      </c>
      <c r="AR2" t="s">
        <v>224</v>
      </c>
      <c r="AS2" t="s">
        <v>225</v>
      </c>
      <c r="AT2" t="s">
        <v>226</v>
      </c>
      <c r="AV2" t="s">
        <v>649</v>
      </c>
      <c r="AW2" t="s">
        <v>305</v>
      </c>
      <c r="AX2" t="s">
        <v>136</v>
      </c>
      <c r="AY2" t="s">
        <v>217</v>
      </c>
      <c r="AZ2" t="s">
        <v>459</v>
      </c>
      <c r="BA2" t="s">
        <v>219</v>
      </c>
      <c r="BB2" t="s">
        <v>220</v>
      </c>
      <c r="BC2" t="s">
        <v>221</v>
      </c>
      <c r="BD2" t="s">
        <v>460</v>
      </c>
      <c r="BE2" t="s">
        <v>223</v>
      </c>
      <c r="BF2" t="s">
        <v>224</v>
      </c>
      <c r="BG2" t="s">
        <v>225</v>
      </c>
      <c r="BH2" t="s">
        <v>226</v>
      </c>
      <c r="BJ2" t="s">
        <v>711</v>
      </c>
      <c r="BK2" t="s">
        <v>730</v>
      </c>
      <c r="BL2" t="s">
        <v>699</v>
      </c>
      <c r="BM2" t="s">
        <v>700</v>
      </c>
      <c r="BN2" t="s">
        <v>701</v>
      </c>
      <c r="BO2" t="s">
        <v>702</v>
      </c>
      <c r="BP2" t="s">
        <v>703</v>
      </c>
      <c r="BQ2" t="s">
        <v>712</v>
      </c>
      <c r="BR2" t="s">
        <v>713</v>
      </c>
      <c r="BS2" t="s">
        <v>704</v>
      </c>
      <c r="BT2" t="s">
        <v>705</v>
      </c>
      <c r="BU2" t="s">
        <v>706</v>
      </c>
      <c r="BV2" t="s">
        <v>707</v>
      </c>
      <c r="BW2" t="s">
        <v>708</v>
      </c>
      <c r="BX2" t="s">
        <v>709</v>
      </c>
      <c r="BY2" t="s">
        <v>710</v>
      </c>
      <c r="CA2" t="s">
        <v>1031</v>
      </c>
      <c r="CB2" t="s">
        <v>735</v>
      </c>
      <c r="CC2" t="s">
        <v>736</v>
      </c>
      <c r="CD2" t="s">
        <v>714</v>
      </c>
      <c r="CE2" t="s">
        <v>715</v>
      </c>
      <c r="CF2" t="s">
        <v>716</v>
      </c>
      <c r="CG2" t="s">
        <v>717</v>
      </c>
      <c r="CH2" t="s">
        <v>718</v>
      </c>
      <c r="CI2" t="s">
        <v>719</v>
      </c>
      <c r="CJ2" t="s">
        <v>720</v>
      </c>
      <c r="CL2" t="s">
        <v>1032</v>
      </c>
      <c r="CM2" t="s">
        <v>735</v>
      </c>
      <c r="CN2" t="s">
        <v>736</v>
      </c>
      <c r="CO2" t="s">
        <v>714</v>
      </c>
      <c r="CP2" t="s">
        <v>715</v>
      </c>
      <c r="CQ2" t="s">
        <v>716</v>
      </c>
      <c r="CR2" t="s">
        <v>717</v>
      </c>
      <c r="CS2" t="s">
        <v>718</v>
      </c>
      <c r="CT2" t="s">
        <v>719</v>
      </c>
      <c r="CU2" t="s">
        <v>720</v>
      </c>
      <c r="CW2" t="s">
        <v>1033</v>
      </c>
      <c r="CX2" t="s">
        <v>735</v>
      </c>
      <c r="CY2" t="s">
        <v>736</v>
      </c>
      <c r="CZ2" t="s">
        <v>714</v>
      </c>
      <c r="DA2" t="s">
        <v>715</v>
      </c>
      <c r="DB2" t="s">
        <v>716</v>
      </c>
      <c r="DC2" t="s">
        <v>717</v>
      </c>
      <c r="DD2" t="s">
        <v>718</v>
      </c>
      <c r="DE2" t="s">
        <v>719</v>
      </c>
      <c r="DF2" t="s">
        <v>720</v>
      </c>
      <c r="DH2" t="s">
        <v>1034</v>
      </c>
      <c r="DI2" t="s">
        <v>735</v>
      </c>
      <c r="DJ2" t="s">
        <v>736</v>
      </c>
      <c r="DK2" t="s">
        <v>714</v>
      </c>
      <c r="DL2" t="s">
        <v>715</v>
      </c>
      <c r="DM2" t="s">
        <v>716</v>
      </c>
      <c r="DN2" t="s">
        <v>717</v>
      </c>
      <c r="DO2" t="s">
        <v>718</v>
      </c>
      <c r="DP2" t="s">
        <v>719</v>
      </c>
      <c r="DQ2" t="s">
        <v>720</v>
      </c>
    </row>
    <row r="3" spans="2:121" x14ac:dyDescent="0.2">
      <c r="C3">
        <v>342342</v>
      </c>
      <c r="D3">
        <v>273544</v>
      </c>
      <c r="F3" t="s">
        <v>34</v>
      </c>
      <c r="G3">
        <v>1116</v>
      </c>
      <c r="H3">
        <v>131.52419354840001</v>
      </c>
      <c r="I3">
        <v>3156</v>
      </c>
      <c r="J3">
        <v>610</v>
      </c>
      <c r="K3">
        <v>1579</v>
      </c>
      <c r="L3">
        <v>511</v>
      </c>
      <c r="M3">
        <v>439</v>
      </c>
      <c r="N3">
        <v>151</v>
      </c>
      <c r="O3">
        <v>384</v>
      </c>
      <c r="P3">
        <v>223</v>
      </c>
      <c r="Q3">
        <v>0</v>
      </c>
      <c r="R3">
        <v>8</v>
      </c>
      <c r="T3" t="s">
        <v>212</v>
      </c>
      <c r="U3">
        <v>3060</v>
      </c>
      <c r="V3">
        <v>51.464052287599998</v>
      </c>
      <c r="W3">
        <v>8094</v>
      </c>
      <c r="X3">
        <v>646</v>
      </c>
      <c r="Y3">
        <v>5067</v>
      </c>
      <c r="Z3">
        <v>205</v>
      </c>
      <c r="AA3">
        <v>3</v>
      </c>
      <c r="AB3">
        <v>3</v>
      </c>
      <c r="AC3">
        <v>452</v>
      </c>
      <c r="AD3">
        <v>74</v>
      </c>
      <c r="AE3">
        <v>985</v>
      </c>
      <c r="AF3">
        <v>742</v>
      </c>
      <c r="AH3" t="s">
        <v>388</v>
      </c>
      <c r="AI3">
        <v>13701</v>
      </c>
      <c r="AJ3">
        <v>385.6915553609</v>
      </c>
      <c r="AK3">
        <v>7962</v>
      </c>
      <c r="AL3">
        <v>1379</v>
      </c>
      <c r="AM3">
        <v>17596</v>
      </c>
      <c r="AN3">
        <v>11858</v>
      </c>
      <c r="AO3">
        <v>5257</v>
      </c>
      <c r="AP3">
        <v>3943</v>
      </c>
      <c r="AQ3">
        <v>3455</v>
      </c>
      <c r="AR3">
        <v>2094</v>
      </c>
      <c r="AS3">
        <v>389</v>
      </c>
      <c r="AT3">
        <v>357</v>
      </c>
      <c r="AV3" t="s">
        <v>413</v>
      </c>
      <c r="AW3">
        <v>69</v>
      </c>
      <c r="AX3">
        <v>48.826086956499999</v>
      </c>
      <c r="AY3">
        <v>195</v>
      </c>
      <c r="AZ3">
        <v>4</v>
      </c>
      <c r="BA3">
        <v>104</v>
      </c>
      <c r="BB3">
        <v>10</v>
      </c>
      <c r="BC3">
        <v>0</v>
      </c>
      <c r="BE3">
        <v>9</v>
      </c>
      <c r="BF3">
        <v>5</v>
      </c>
      <c r="BG3">
        <v>112</v>
      </c>
      <c r="BH3">
        <v>23</v>
      </c>
      <c r="BJ3" t="s">
        <v>728</v>
      </c>
      <c r="BK3" t="s">
        <v>731</v>
      </c>
      <c r="BL3">
        <v>315769</v>
      </c>
      <c r="BM3">
        <v>67490</v>
      </c>
      <c r="BN3">
        <v>92.482656625600001</v>
      </c>
      <c r="BO3">
        <v>232419</v>
      </c>
      <c r="BP3">
        <v>58919</v>
      </c>
      <c r="BQ3">
        <v>135.72065106549999</v>
      </c>
      <c r="BR3">
        <v>134.91675011460001</v>
      </c>
      <c r="BS3">
        <v>315769</v>
      </c>
      <c r="BT3">
        <v>67490</v>
      </c>
      <c r="BU3">
        <v>92.482656625600001</v>
      </c>
      <c r="BV3">
        <v>232419</v>
      </c>
      <c r="BW3">
        <v>58919</v>
      </c>
      <c r="BX3">
        <v>135.72065106549999</v>
      </c>
      <c r="BY3">
        <v>134.91675011460001</v>
      </c>
      <c r="CA3" t="s">
        <v>1037</v>
      </c>
      <c r="CB3" t="s">
        <v>731</v>
      </c>
      <c r="CC3" t="s">
        <v>917</v>
      </c>
      <c r="CD3">
        <v>11590</v>
      </c>
      <c r="CE3">
        <v>2098</v>
      </c>
      <c r="CF3">
        <v>83.029508196699993</v>
      </c>
      <c r="CG3">
        <v>4944</v>
      </c>
      <c r="CH3">
        <v>1363</v>
      </c>
      <c r="CI3">
        <v>131.4965614887</v>
      </c>
      <c r="CJ3">
        <v>137.05722670579999</v>
      </c>
      <c r="CL3" t="s">
        <v>1037</v>
      </c>
      <c r="CM3" t="s">
        <v>731</v>
      </c>
      <c r="CN3" t="s">
        <v>917</v>
      </c>
      <c r="CO3">
        <v>11590</v>
      </c>
      <c r="CP3">
        <v>2098</v>
      </c>
      <c r="CQ3">
        <v>83.029508196699993</v>
      </c>
      <c r="CR3">
        <v>4944</v>
      </c>
      <c r="CS3">
        <v>1363</v>
      </c>
      <c r="CT3">
        <v>131.4965614887</v>
      </c>
      <c r="CU3">
        <v>137.05722670579999</v>
      </c>
      <c r="CW3" t="s">
        <v>1037</v>
      </c>
      <c r="CX3" t="s">
        <v>731</v>
      </c>
      <c r="CY3" t="s">
        <v>917</v>
      </c>
      <c r="CZ3">
        <v>11590</v>
      </c>
      <c r="DA3">
        <v>2098</v>
      </c>
      <c r="DB3">
        <v>83.029508196699993</v>
      </c>
      <c r="DC3">
        <v>4944</v>
      </c>
      <c r="DD3">
        <v>1363</v>
      </c>
      <c r="DE3">
        <v>131.4965614887</v>
      </c>
      <c r="DF3">
        <v>137.05722670579999</v>
      </c>
      <c r="DH3" t="s">
        <v>1037</v>
      </c>
      <c r="DI3" t="s">
        <v>731</v>
      </c>
      <c r="DJ3" t="s">
        <v>917</v>
      </c>
      <c r="DK3">
        <v>11590</v>
      </c>
      <c r="DL3">
        <v>2098</v>
      </c>
      <c r="DM3">
        <v>83.029508196699993</v>
      </c>
      <c r="DN3">
        <v>4944</v>
      </c>
      <c r="DO3">
        <v>1363</v>
      </c>
      <c r="DP3">
        <v>131.4965614887</v>
      </c>
      <c r="DQ3">
        <v>137.05722670579999</v>
      </c>
    </row>
    <row r="4" spans="2:121" x14ac:dyDescent="0.2">
      <c r="B4" t="s">
        <v>101</v>
      </c>
      <c r="C4">
        <v>111073</v>
      </c>
      <c r="D4">
        <v>87112</v>
      </c>
      <c r="F4" t="s">
        <v>80</v>
      </c>
      <c r="G4">
        <v>15686</v>
      </c>
      <c r="H4">
        <v>298.55138339920001</v>
      </c>
      <c r="I4">
        <v>21716</v>
      </c>
      <c r="J4">
        <v>5439</v>
      </c>
      <c r="K4">
        <v>18994</v>
      </c>
      <c r="L4">
        <v>12159</v>
      </c>
      <c r="M4">
        <v>4463</v>
      </c>
      <c r="N4">
        <v>2210</v>
      </c>
      <c r="O4">
        <v>11107</v>
      </c>
      <c r="P4">
        <v>6558</v>
      </c>
      <c r="Q4">
        <v>9</v>
      </c>
      <c r="R4">
        <v>244</v>
      </c>
      <c r="T4" t="s">
        <v>227</v>
      </c>
      <c r="U4">
        <v>0</v>
      </c>
      <c r="W4">
        <v>252</v>
      </c>
      <c r="X4">
        <v>104</v>
      </c>
      <c r="Y4">
        <v>462</v>
      </c>
      <c r="Z4">
        <v>321</v>
      </c>
      <c r="AA4">
        <v>226</v>
      </c>
      <c r="AB4">
        <v>220</v>
      </c>
      <c r="AC4">
        <v>206</v>
      </c>
      <c r="AD4">
        <v>156</v>
      </c>
      <c r="AE4">
        <v>14</v>
      </c>
      <c r="AF4">
        <v>0</v>
      </c>
      <c r="AH4" t="s">
        <v>424</v>
      </c>
      <c r="AI4">
        <v>1939</v>
      </c>
      <c r="AJ4">
        <v>443.73749355339999</v>
      </c>
      <c r="AK4">
        <v>1198</v>
      </c>
      <c r="AL4">
        <v>319</v>
      </c>
      <c r="AM4">
        <v>2849</v>
      </c>
      <c r="AN4">
        <v>1895</v>
      </c>
      <c r="AO4">
        <v>1953</v>
      </c>
      <c r="AP4">
        <v>1600</v>
      </c>
      <c r="AQ4">
        <v>566</v>
      </c>
      <c r="AR4">
        <v>268</v>
      </c>
      <c r="AS4">
        <v>3</v>
      </c>
      <c r="AT4">
        <v>2</v>
      </c>
      <c r="AV4" t="s">
        <v>420</v>
      </c>
      <c r="AW4">
        <v>25</v>
      </c>
      <c r="AX4">
        <v>45.16</v>
      </c>
      <c r="AY4">
        <v>46</v>
      </c>
      <c r="BA4">
        <v>39</v>
      </c>
      <c r="BB4">
        <v>2</v>
      </c>
      <c r="BC4">
        <v>0</v>
      </c>
      <c r="BE4">
        <v>0</v>
      </c>
      <c r="BG4">
        <v>99</v>
      </c>
      <c r="BH4">
        <v>3</v>
      </c>
      <c r="BJ4" t="s">
        <v>637</v>
      </c>
      <c r="BK4" t="s">
        <v>385</v>
      </c>
      <c r="BL4">
        <v>838</v>
      </c>
      <c r="BM4">
        <v>114</v>
      </c>
      <c r="BN4">
        <v>80.064439140800005</v>
      </c>
      <c r="BO4">
        <v>550</v>
      </c>
      <c r="BP4">
        <v>146</v>
      </c>
      <c r="BQ4">
        <v>134.7945454545</v>
      </c>
      <c r="BR4">
        <v>152.21917808219999</v>
      </c>
      <c r="BS4">
        <v>912</v>
      </c>
      <c r="BT4">
        <v>168</v>
      </c>
      <c r="BU4">
        <v>84.861842105299999</v>
      </c>
      <c r="BV4">
        <v>634</v>
      </c>
      <c r="BW4">
        <v>165</v>
      </c>
      <c r="BX4">
        <v>138.78548895899999</v>
      </c>
      <c r="BY4">
        <v>148.46060606060001</v>
      </c>
      <c r="CA4" t="s">
        <v>1036</v>
      </c>
      <c r="CB4" t="s">
        <v>731</v>
      </c>
      <c r="CC4" t="s">
        <v>917</v>
      </c>
      <c r="CD4">
        <v>315769</v>
      </c>
      <c r="CE4">
        <v>67490</v>
      </c>
      <c r="CF4">
        <v>92.482656625600001</v>
      </c>
      <c r="CG4">
        <v>232419</v>
      </c>
      <c r="CH4">
        <v>58919</v>
      </c>
      <c r="CI4">
        <v>135.72065106549999</v>
      </c>
      <c r="CJ4">
        <v>134.91675011460001</v>
      </c>
      <c r="CL4" t="s">
        <v>1036</v>
      </c>
      <c r="CM4" t="s">
        <v>731</v>
      </c>
      <c r="CN4" t="s">
        <v>917</v>
      </c>
      <c r="CO4">
        <v>315769</v>
      </c>
      <c r="CP4">
        <v>67490</v>
      </c>
      <c r="CQ4">
        <v>92.482656625600001</v>
      </c>
      <c r="CR4">
        <v>232419</v>
      </c>
      <c r="CS4">
        <v>58919</v>
      </c>
      <c r="CT4">
        <v>135.72065106549999</v>
      </c>
      <c r="CU4">
        <v>134.91675011460001</v>
      </c>
      <c r="CW4" t="s">
        <v>1036</v>
      </c>
      <c r="CX4" t="s">
        <v>731</v>
      </c>
      <c r="CY4" t="s">
        <v>917</v>
      </c>
      <c r="CZ4">
        <v>315769</v>
      </c>
      <c r="DA4">
        <v>67490</v>
      </c>
      <c r="DB4">
        <v>92.482656625600001</v>
      </c>
      <c r="DC4">
        <v>232419</v>
      </c>
      <c r="DD4">
        <v>58919</v>
      </c>
      <c r="DE4">
        <v>135.72065106549999</v>
      </c>
      <c r="DF4">
        <v>134.91675011460001</v>
      </c>
      <c r="DH4" t="s">
        <v>1036</v>
      </c>
      <c r="DI4" t="s">
        <v>731</v>
      </c>
      <c r="DJ4" t="s">
        <v>917</v>
      </c>
      <c r="DK4">
        <v>315769</v>
      </c>
      <c r="DL4">
        <v>67490</v>
      </c>
      <c r="DM4">
        <v>92.482656625600001</v>
      </c>
      <c r="DN4">
        <v>232419</v>
      </c>
      <c r="DO4">
        <v>58919</v>
      </c>
      <c r="DP4">
        <v>135.72065106549999</v>
      </c>
      <c r="DQ4">
        <v>134.91675011460001</v>
      </c>
    </row>
    <row r="5" spans="2:121" x14ac:dyDescent="0.2">
      <c r="B5" t="s">
        <v>110</v>
      </c>
      <c r="C5">
        <v>73650</v>
      </c>
      <c r="D5">
        <v>55790</v>
      </c>
      <c r="F5" t="s">
        <v>54</v>
      </c>
      <c r="G5">
        <v>5029</v>
      </c>
      <c r="H5">
        <v>361.44322927019999</v>
      </c>
      <c r="I5">
        <v>3438</v>
      </c>
      <c r="J5">
        <v>555</v>
      </c>
      <c r="K5">
        <v>9119</v>
      </c>
      <c r="L5">
        <v>4630</v>
      </c>
      <c r="M5">
        <v>4476</v>
      </c>
      <c r="N5">
        <v>3891</v>
      </c>
      <c r="O5">
        <v>1106</v>
      </c>
      <c r="P5">
        <v>533</v>
      </c>
      <c r="Q5">
        <v>1</v>
      </c>
      <c r="R5">
        <v>137</v>
      </c>
      <c r="T5" t="s">
        <v>213</v>
      </c>
      <c r="U5">
        <v>13147</v>
      </c>
      <c r="V5">
        <v>103.79926979539999</v>
      </c>
      <c r="W5">
        <v>17797</v>
      </c>
      <c r="X5">
        <v>3607</v>
      </c>
      <c r="Y5">
        <v>18125</v>
      </c>
      <c r="Z5">
        <v>6231</v>
      </c>
      <c r="AA5">
        <v>356</v>
      </c>
      <c r="AB5">
        <v>346</v>
      </c>
      <c r="AC5">
        <v>1016</v>
      </c>
      <c r="AD5">
        <v>304</v>
      </c>
      <c r="AE5">
        <v>2139</v>
      </c>
      <c r="AF5">
        <v>4303</v>
      </c>
      <c r="AH5" t="s">
        <v>426</v>
      </c>
      <c r="AI5">
        <v>6512</v>
      </c>
      <c r="AJ5">
        <v>304.9823402948</v>
      </c>
      <c r="AK5">
        <v>6202</v>
      </c>
      <c r="AL5">
        <v>1234</v>
      </c>
      <c r="AM5">
        <v>9218</v>
      </c>
      <c r="AN5">
        <v>5454</v>
      </c>
      <c r="AO5">
        <v>1594</v>
      </c>
      <c r="AP5">
        <v>732</v>
      </c>
      <c r="AQ5">
        <v>3406</v>
      </c>
      <c r="AR5">
        <v>2591</v>
      </c>
      <c r="AS5">
        <v>2</v>
      </c>
      <c r="AT5">
        <v>77</v>
      </c>
      <c r="AV5" t="s">
        <v>400</v>
      </c>
      <c r="AW5">
        <v>27</v>
      </c>
      <c r="AX5">
        <v>39.074074074099997</v>
      </c>
      <c r="AY5">
        <v>75</v>
      </c>
      <c r="AZ5">
        <v>5</v>
      </c>
      <c r="BA5">
        <v>51</v>
      </c>
      <c r="BB5">
        <v>1</v>
      </c>
      <c r="BC5">
        <v>0</v>
      </c>
      <c r="BE5">
        <v>2</v>
      </c>
      <c r="BF5">
        <v>1</v>
      </c>
      <c r="BG5">
        <v>177</v>
      </c>
      <c r="BH5">
        <v>9</v>
      </c>
      <c r="BJ5" t="s">
        <v>385</v>
      </c>
      <c r="BK5" t="s">
        <v>385</v>
      </c>
      <c r="BL5">
        <v>62327</v>
      </c>
      <c r="BM5">
        <v>13112</v>
      </c>
      <c r="BN5">
        <v>91.773982383200007</v>
      </c>
      <c r="BO5">
        <v>45362</v>
      </c>
      <c r="BP5">
        <v>11270</v>
      </c>
      <c r="BQ5">
        <v>141.9886248402</v>
      </c>
      <c r="BR5">
        <v>140.6661047028</v>
      </c>
      <c r="BS5">
        <v>62607</v>
      </c>
      <c r="BT5">
        <v>13448</v>
      </c>
      <c r="BU5">
        <v>92.260050793000005</v>
      </c>
      <c r="BV5">
        <v>45472</v>
      </c>
      <c r="BW5">
        <v>11481</v>
      </c>
      <c r="BX5">
        <v>141.3537121745</v>
      </c>
      <c r="BY5">
        <v>140.16671021689999</v>
      </c>
      <c r="CA5" t="s">
        <v>1038</v>
      </c>
      <c r="CB5" t="s">
        <v>731</v>
      </c>
      <c r="CC5" t="s">
        <v>917</v>
      </c>
      <c r="CD5">
        <v>26569</v>
      </c>
      <c r="CE5">
        <v>2313</v>
      </c>
      <c r="CF5">
        <v>63.969739169699999</v>
      </c>
      <c r="CG5">
        <v>31743</v>
      </c>
      <c r="CH5">
        <v>8191</v>
      </c>
      <c r="CI5">
        <v>71.025611945899996</v>
      </c>
      <c r="CJ5">
        <v>75.407032108400003</v>
      </c>
      <c r="CL5" t="s">
        <v>1038</v>
      </c>
      <c r="CM5" t="s">
        <v>731</v>
      </c>
      <c r="CN5" t="s">
        <v>917</v>
      </c>
      <c r="CO5">
        <v>26569</v>
      </c>
      <c r="CP5">
        <v>2313</v>
      </c>
      <c r="CQ5">
        <v>63.969739169699999</v>
      </c>
      <c r="CR5">
        <v>31743</v>
      </c>
      <c r="CS5">
        <v>8191</v>
      </c>
      <c r="CT5">
        <v>71.025611945899996</v>
      </c>
      <c r="CU5">
        <v>75.407032108400003</v>
      </c>
      <c r="CW5" t="s">
        <v>1038</v>
      </c>
      <c r="CX5" t="s">
        <v>731</v>
      </c>
      <c r="CY5" t="s">
        <v>917</v>
      </c>
      <c r="CZ5">
        <v>26569</v>
      </c>
      <c r="DA5">
        <v>2313</v>
      </c>
      <c r="DB5">
        <v>63.969739169699999</v>
      </c>
      <c r="DC5">
        <v>31743</v>
      </c>
      <c r="DD5">
        <v>8191</v>
      </c>
      <c r="DE5">
        <v>71.025611945899996</v>
      </c>
      <c r="DF5">
        <v>75.407032108400003</v>
      </c>
      <c r="DH5" t="s">
        <v>1038</v>
      </c>
      <c r="DI5" t="s">
        <v>731</v>
      </c>
      <c r="DJ5" t="s">
        <v>917</v>
      </c>
      <c r="DK5">
        <v>26569</v>
      </c>
      <c r="DL5">
        <v>2313</v>
      </c>
      <c r="DM5">
        <v>63.969739169699999</v>
      </c>
      <c r="DN5">
        <v>31743</v>
      </c>
      <c r="DO5">
        <v>8191</v>
      </c>
      <c r="DP5">
        <v>71.025611945899996</v>
      </c>
      <c r="DQ5">
        <v>75.407032108400003</v>
      </c>
    </row>
    <row r="6" spans="2:121" x14ac:dyDescent="0.2">
      <c r="B6" t="s">
        <v>93</v>
      </c>
      <c r="C6">
        <v>8087</v>
      </c>
      <c r="D6">
        <v>1325</v>
      </c>
      <c r="F6" t="s">
        <v>184</v>
      </c>
      <c r="G6">
        <v>633</v>
      </c>
      <c r="H6">
        <v>178.14691943130001</v>
      </c>
      <c r="I6">
        <v>662</v>
      </c>
      <c r="J6">
        <v>58</v>
      </c>
      <c r="K6">
        <v>852</v>
      </c>
      <c r="L6">
        <v>348</v>
      </c>
      <c r="M6">
        <v>504</v>
      </c>
      <c r="N6">
        <v>168</v>
      </c>
      <c r="O6">
        <v>126</v>
      </c>
      <c r="P6">
        <v>47</v>
      </c>
      <c r="Q6">
        <v>0</v>
      </c>
      <c r="R6">
        <v>2</v>
      </c>
      <c r="T6" t="s">
        <v>215</v>
      </c>
      <c r="U6">
        <v>2378</v>
      </c>
      <c r="V6">
        <v>37.978132884799997</v>
      </c>
      <c r="W6">
        <v>6951</v>
      </c>
      <c r="X6">
        <v>223</v>
      </c>
      <c r="Y6">
        <v>3665</v>
      </c>
      <c r="Z6">
        <v>39</v>
      </c>
      <c r="AA6">
        <v>27</v>
      </c>
      <c r="AB6">
        <v>4</v>
      </c>
      <c r="AC6">
        <v>124</v>
      </c>
      <c r="AD6">
        <v>37</v>
      </c>
      <c r="AE6">
        <v>6192</v>
      </c>
      <c r="AF6">
        <v>755</v>
      </c>
      <c r="AH6" t="s">
        <v>411</v>
      </c>
      <c r="AI6">
        <v>5377</v>
      </c>
      <c r="AJ6">
        <v>367.51366933230003</v>
      </c>
      <c r="AK6">
        <v>3699</v>
      </c>
      <c r="AL6">
        <v>600</v>
      </c>
      <c r="AM6">
        <v>7040</v>
      </c>
      <c r="AN6">
        <v>4768</v>
      </c>
      <c r="AO6">
        <v>2078</v>
      </c>
      <c r="AP6">
        <v>1600</v>
      </c>
      <c r="AQ6">
        <v>1975</v>
      </c>
      <c r="AR6">
        <v>946</v>
      </c>
      <c r="AS6">
        <v>297</v>
      </c>
      <c r="AT6">
        <v>135</v>
      </c>
      <c r="AV6" t="s">
        <v>427</v>
      </c>
      <c r="AW6">
        <v>968</v>
      </c>
      <c r="AX6">
        <v>106.3088842975</v>
      </c>
      <c r="AY6">
        <v>641</v>
      </c>
      <c r="AZ6">
        <v>118</v>
      </c>
      <c r="BA6">
        <v>1485</v>
      </c>
      <c r="BB6">
        <v>508</v>
      </c>
      <c r="BC6">
        <v>15</v>
      </c>
      <c r="BD6">
        <v>14</v>
      </c>
      <c r="BE6">
        <v>21</v>
      </c>
      <c r="BF6">
        <v>14</v>
      </c>
      <c r="BG6">
        <v>84</v>
      </c>
      <c r="BH6">
        <v>128</v>
      </c>
      <c r="BJ6" t="s">
        <v>584</v>
      </c>
      <c r="BK6" t="s">
        <v>385</v>
      </c>
      <c r="BL6">
        <v>6736</v>
      </c>
      <c r="BM6">
        <v>1613</v>
      </c>
      <c r="BN6">
        <v>100.37900831349999</v>
      </c>
      <c r="BO6">
        <v>3966</v>
      </c>
      <c r="BP6">
        <v>976</v>
      </c>
      <c r="BQ6">
        <v>162.00252143220001</v>
      </c>
      <c r="BR6">
        <v>180.3411885246</v>
      </c>
      <c r="BS6">
        <v>6525</v>
      </c>
      <c r="BT6">
        <v>1624</v>
      </c>
      <c r="BU6">
        <v>100.6614559387</v>
      </c>
      <c r="BV6">
        <v>3915</v>
      </c>
      <c r="BW6">
        <v>952</v>
      </c>
      <c r="BX6">
        <v>157.7905491699</v>
      </c>
      <c r="BY6">
        <v>180.18907563030001</v>
      </c>
      <c r="CA6" t="s">
        <v>1039</v>
      </c>
      <c r="CB6" t="s">
        <v>731</v>
      </c>
      <c r="CC6" t="s">
        <v>917</v>
      </c>
      <c r="CD6">
        <v>10569</v>
      </c>
      <c r="CE6">
        <v>1829</v>
      </c>
      <c r="CF6">
        <v>81.9196707352</v>
      </c>
      <c r="CG6">
        <v>4209</v>
      </c>
      <c r="CH6">
        <v>1203</v>
      </c>
      <c r="CI6">
        <v>138.48372535039999</v>
      </c>
      <c r="CJ6">
        <v>145.33416458849999</v>
      </c>
      <c r="CL6" t="s">
        <v>1039</v>
      </c>
      <c r="CM6" t="s">
        <v>731</v>
      </c>
      <c r="CN6" t="s">
        <v>917</v>
      </c>
      <c r="CO6">
        <v>10569</v>
      </c>
      <c r="CP6">
        <v>1829</v>
      </c>
      <c r="CQ6">
        <v>81.9196707352</v>
      </c>
      <c r="CR6">
        <v>4209</v>
      </c>
      <c r="CS6">
        <v>1203</v>
      </c>
      <c r="CT6">
        <v>138.48372535039999</v>
      </c>
      <c r="CU6">
        <v>145.33416458849999</v>
      </c>
      <c r="CW6" t="s">
        <v>1039</v>
      </c>
      <c r="CX6" t="s">
        <v>731</v>
      </c>
      <c r="CY6" t="s">
        <v>917</v>
      </c>
      <c r="CZ6">
        <v>10569</v>
      </c>
      <c r="DA6">
        <v>1829</v>
      </c>
      <c r="DB6">
        <v>81.9196707352</v>
      </c>
      <c r="DC6">
        <v>4209</v>
      </c>
      <c r="DD6">
        <v>1203</v>
      </c>
      <c r="DE6">
        <v>138.48372535039999</v>
      </c>
      <c r="DF6">
        <v>145.33416458849999</v>
      </c>
      <c r="DH6" t="s">
        <v>1039</v>
      </c>
      <c r="DI6" t="s">
        <v>731</v>
      </c>
      <c r="DJ6" t="s">
        <v>917</v>
      </c>
      <c r="DK6">
        <v>10569</v>
      </c>
      <c r="DL6">
        <v>1829</v>
      </c>
      <c r="DM6">
        <v>81.9196707352</v>
      </c>
      <c r="DN6">
        <v>4209</v>
      </c>
      <c r="DO6">
        <v>1203</v>
      </c>
      <c r="DP6">
        <v>138.48372535039999</v>
      </c>
      <c r="DQ6">
        <v>145.33416458849999</v>
      </c>
    </row>
    <row r="7" spans="2:121" x14ac:dyDescent="0.2">
      <c r="B7" t="s">
        <v>94</v>
      </c>
      <c r="C7">
        <v>726</v>
      </c>
      <c r="D7">
        <v>227</v>
      </c>
      <c r="F7" t="s">
        <v>61</v>
      </c>
      <c r="G7">
        <v>4905</v>
      </c>
      <c r="H7">
        <v>232.9321100917</v>
      </c>
      <c r="I7">
        <v>9670</v>
      </c>
      <c r="J7">
        <v>1910</v>
      </c>
      <c r="K7">
        <v>8398</v>
      </c>
      <c r="L7">
        <v>4158</v>
      </c>
      <c r="M7">
        <v>3361</v>
      </c>
      <c r="N7">
        <v>2057</v>
      </c>
      <c r="O7">
        <v>1478</v>
      </c>
      <c r="P7">
        <v>1150</v>
      </c>
      <c r="Q7">
        <v>1</v>
      </c>
      <c r="R7">
        <v>244</v>
      </c>
      <c r="T7" t="s">
        <v>462</v>
      </c>
      <c r="U7">
        <v>18585</v>
      </c>
      <c r="V7">
        <v>86.7603443637</v>
      </c>
      <c r="W7">
        <v>33094</v>
      </c>
      <c r="X7">
        <v>4580</v>
      </c>
      <c r="Y7">
        <v>27319</v>
      </c>
      <c r="Z7">
        <v>6796</v>
      </c>
      <c r="AA7">
        <v>612</v>
      </c>
      <c r="AB7">
        <v>573</v>
      </c>
      <c r="AC7">
        <v>1798</v>
      </c>
      <c r="AD7">
        <v>571</v>
      </c>
      <c r="AE7">
        <v>9330</v>
      </c>
      <c r="AF7">
        <v>5800</v>
      </c>
      <c r="AH7" t="s">
        <v>407</v>
      </c>
      <c r="AI7">
        <v>28416</v>
      </c>
      <c r="AJ7">
        <v>373.19897240990002</v>
      </c>
      <c r="AK7">
        <v>31106</v>
      </c>
      <c r="AL7">
        <v>5871</v>
      </c>
      <c r="AM7">
        <v>42288</v>
      </c>
      <c r="AN7">
        <v>28146</v>
      </c>
      <c r="AO7">
        <v>10512</v>
      </c>
      <c r="AP7">
        <v>6941</v>
      </c>
      <c r="AQ7">
        <v>13225</v>
      </c>
      <c r="AR7">
        <v>9055</v>
      </c>
      <c r="AS7">
        <v>52</v>
      </c>
      <c r="AT7">
        <v>130</v>
      </c>
      <c r="AV7" t="s">
        <v>388</v>
      </c>
      <c r="AW7">
        <v>390</v>
      </c>
      <c r="AX7">
        <v>51.156410256400001</v>
      </c>
      <c r="AY7">
        <v>937</v>
      </c>
      <c r="AZ7">
        <v>68</v>
      </c>
      <c r="BA7">
        <v>602</v>
      </c>
      <c r="BB7">
        <v>33</v>
      </c>
      <c r="BC7">
        <v>6</v>
      </c>
      <c r="BD7">
        <v>4</v>
      </c>
      <c r="BE7">
        <v>59</v>
      </c>
      <c r="BF7">
        <v>16</v>
      </c>
      <c r="BG7">
        <v>122</v>
      </c>
      <c r="BH7">
        <v>98</v>
      </c>
      <c r="BJ7" t="s">
        <v>631</v>
      </c>
      <c r="BK7" t="s">
        <v>385</v>
      </c>
      <c r="BL7">
        <v>689</v>
      </c>
      <c r="BM7">
        <v>57</v>
      </c>
      <c r="BN7">
        <v>61.872278664699998</v>
      </c>
      <c r="BO7">
        <v>923</v>
      </c>
      <c r="BP7">
        <v>169</v>
      </c>
      <c r="BQ7">
        <v>88.300108342399994</v>
      </c>
      <c r="BR7">
        <v>82.402366863899999</v>
      </c>
      <c r="BS7">
        <v>1302</v>
      </c>
      <c r="BT7">
        <v>275</v>
      </c>
      <c r="BU7">
        <v>92.699692780299998</v>
      </c>
      <c r="BV7">
        <v>1362</v>
      </c>
      <c r="BW7">
        <v>313</v>
      </c>
      <c r="BX7">
        <v>125.1093979442</v>
      </c>
      <c r="BY7">
        <v>121.17571884980001</v>
      </c>
      <c r="CA7" t="s">
        <v>411</v>
      </c>
      <c r="CB7" t="s">
        <v>767</v>
      </c>
      <c r="CC7" t="s">
        <v>994</v>
      </c>
      <c r="CD7">
        <v>3855</v>
      </c>
      <c r="CE7">
        <v>594</v>
      </c>
      <c r="CF7">
        <v>81.026977950700001</v>
      </c>
      <c r="CG7">
        <v>2783</v>
      </c>
      <c r="CH7">
        <v>663</v>
      </c>
      <c r="CI7">
        <v>123.0319798778</v>
      </c>
      <c r="CJ7">
        <v>136.50829562589999</v>
      </c>
      <c r="CL7" t="s">
        <v>411</v>
      </c>
      <c r="CM7" t="s">
        <v>748</v>
      </c>
      <c r="CN7" t="s">
        <v>747</v>
      </c>
      <c r="CO7">
        <v>333</v>
      </c>
      <c r="CP7">
        <v>23</v>
      </c>
      <c r="CQ7">
        <v>61.300300300300002</v>
      </c>
      <c r="CR7">
        <v>383</v>
      </c>
      <c r="CS7">
        <v>109</v>
      </c>
      <c r="CT7">
        <v>59.360313315900001</v>
      </c>
      <c r="CU7">
        <v>64.926605504600005</v>
      </c>
      <c r="CW7" t="s">
        <v>411</v>
      </c>
      <c r="CX7" t="s">
        <v>758</v>
      </c>
      <c r="CY7" t="s">
        <v>757</v>
      </c>
      <c r="CZ7">
        <v>59</v>
      </c>
      <c r="DA7">
        <v>4</v>
      </c>
      <c r="DB7">
        <v>66.406779661000002</v>
      </c>
      <c r="DC7">
        <v>23</v>
      </c>
      <c r="DD7">
        <v>9</v>
      </c>
      <c r="DE7">
        <v>138.34782608699999</v>
      </c>
      <c r="DF7">
        <v>129.1111111111</v>
      </c>
      <c r="DH7" t="s">
        <v>411</v>
      </c>
      <c r="DI7" t="s">
        <v>738</v>
      </c>
      <c r="DJ7" t="s">
        <v>737</v>
      </c>
      <c r="DK7">
        <v>42</v>
      </c>
      <c r="DL7">
        <v>2</v>
      </c>
      <c r="DM7">
        <v>67.119047619</v>
      </c>
      <c r="DN7">
        <v>25</v>
      </c>
      <c r="DO7">
        <v>5</v>
      </c>
      <c r="DP7">
        <v>131.12</v>
      </c>
      <c r="DQ7">
        <v>103.8</v>
      </c>
    </row>
    <row r="8" spans="2:121" x14ac:dyDescent="0.2">
      <c r="B8" t="s">
        <v>103</v>
      </c>
      <c r="C8">
        <v>293</v>
      </c>
      <c r="D8">
        <v>189</v>
      </c>
      <c r="F8" t="s">
        <v>27</v>
      </c>
      <c r="G8">
        <v>1420</v>
      </c>
      <c r="H8">
        <v>92.350704225399994</v>
      </c>
      <c r="I8">
        <v>6039</v>
      </c>
      <c r="J8">
        <v>954</v>
      </c>
      <c r="K8">
        <v>8356</v>
      </c>
      <c r="L8">
        <v>3078</v>
      </c>
      <c r="M8">
        <v>1742</v>
      </c>
      <c r="N8">
        <v>722</v>
      </c>
      <c r="O8">
        <v>1063</v>
      </c>
      <c r="P8">
        <v>510</v>
      </c>
      <c r="Q8">
        <v>0</v>
      </c>
      <c r="R8">
        <v>60</v>
      </c>
      <c r="AH8" t="s">
        <v>403</v>
      </c>
      <c r="AI8">
        <v>6866</v>
      </c>
      <c r="AJ8">
        <v>375.3073113895</v>
      </c>
      <c r="AK8">
        <v>7209</v>
      </c>
      <c r="AL8">
        <v>1694</v>
      </c>
      <c r="AM8">
        <v>10279</v>
      </c>
      <c r="AN8">
        <v>6544</v>
      </c>
      <c r="AO8">
        <v>3496</v>
      </c>
      <c r="AP8">
        <v>2369</v>
      </c>
      <c r="AQ8">
        <v>1668</v>
      </c>
      <c r="AR8">
        <v>847</v>
      </c>
      <c r="AS8">
        <v>10</v>
      </c>
      <c r="AT8">
        <v>61</v>
      </c>
      <c r="AV8" t="s">
        <v>409</v>
      </c>
      <c r="AW8">
        <v>108</v>
      </c>
      <c r="AX8">
        <v>40.787037036999997</v>
      </c>
      <c r="AY8">
        <v>276</v>
      </c>
      <c r="AZ8">
        <v>7</v>
      </c>
      <c r="BA8">
        <v>163</v>
      </c>
      <c r="BB8">
        <v>11</v>
      </c>
      <c r="BC8">
        <v>1</v>
      </c>
      <c r="BD8">
        <v>1</v>
      </c>
      <c r="BE8">
        <v>11</v>
      </c>
      <c r="BF8">
        <v>5</v>
      </c>
      <c r="BG8">
        <v>285</v>
      </c>
      <c r="BH8">
        <v>40</v>
      </c>
      <c r="BJ8" t="s">
        <v>619</v>
      </c>
      <c r="BK8" t="s">
        <v>385</v>
      </c>
      <c r="BL8">
        <v>15270</v>
      </c>
      <c r="BM8">
        <v>3958</v>
      </c>
      <c r="BN8">
        <v>101.2246234447</v>
      </c>
      <c r="BO8">
        <v>12473</v>
      </c>
      <c r="BP8">
        <v>2723</v>
      </c>
      <c r="BQ8">
        <v>146.54790347150001</v>
      </c>
      <c r="BR8">
        <v>148.03745868530001</v>
      </c>
      <c r="BS8">
        <v>11970</v>
      </c>
      <c r="BT8">
        <v>2410</v>
      </c>
      <c r="BU8">
        <v>88.654302422699999</v>
      </c>
      <c r="BV8">
        <v>8017</v>
      </c>
      <c r="BW8">
        <v>1849</v>
      </c>
      <c r="BX8">
        <v>137.6085817638</v>
      </c>
      <c r="BY8">
        <v>137.9637641969</v>
      </c>
      <c r="CA8" t="s">
        <v>403</v>
      </c>
      <c r="CB8" t="s">
        <v>767</v>
      </c>
      <c r="CC8" t="s">
        <v>995</v>
      </c>
      <c r="CD8">
        <v>6845</v>
      </c>
      <c r="CE8">
        <v>1623</v>
      </c>
      <c r="CF8">
        <v>99.022498173800003</v>
      </c>
      <c r="CG8">
        <v>4436</v>
      </c>
      <c r="CH8">
        <v>1105</v>
      </c>
      <c r="CI8">
        <v>149.2684851217</v>
      </c>
      <c r="CJ8">
        <v>164.61900452489999</v>
      </c>
      <c r="CL8" t="s">
        <v>403</v>
      </c>
      <c r="CM8" t="s">
        <v>748</v>
      </c>
      <c r="CN8" t="s">
        <v>749</v>
      </c>
      <c r="CO8">
        <v>279</v>
      </c>
      <c r="CP8">
        <v>22</v>
      </c>
      <c r="CQ8">
        <v>60.476702508999999</v>
      </c>
      <c r="CR8">
        <v>448</v>
      </c>
      <c r="CS8">
        <v>114</v>
      </c>
      <c r="CT8">
        <v>61.042410714299997</v>
      </c>
      <c r="CU8">
        <v>63.745614035099997</v>
      </c>
      <c r="CW8" t="s">
        <v>403</v>
      </c>
      <c r="CX8" t="s">
        <v>758</v>
      </c>
      <c r="CY8" t="s">
        <v>759</v>
      </c>
      <c r="CZ8">
        <v>317</v>
      </c>
      <c r="DA8">
        <v>38</v>
      </c>
      <c r="DB8">
        <v>75.025236593100004</v>
      </c>
      <c r="DC8">
        <v>116</v>
      </c>
      <c r="DD8">
        <v>36</v>
      </c>
      <c r="DE8">
        <v>137.55172413790001</v>
      </c>
      <c r="DF8">
        <v>151.7777777778</v>
      </c>
      <c r="DH8" t="s">
        <v>403</v>
      </c>
      <c r="DI8" t="s">
        <v>738</v>
      </c>
      <c r="DJ8" t="s">
        <v>739</v>
      </c>
      <c r="DK8">
        <v>466</v>
      </c>
      <c r="DL8">
        <v>38</v>
      </c>
      <c r="DM8">
        <v>70.315450643800006</v>
      </c>
      <c r="DN8">
        <v>189</v>
      </c>
      <c r="DO8">
        <v>54</v>
      </c>
      <c r="DP8">
        <v>121.5079365079</v>
      </c>
      <c r="DQ8">
        <v>127.6666666667</v>
      </c>
    </row>
    <row r="9" spans="2:121" x14ac:dyDescent="0.2">
      <c r="B9" t="s">
        <v>95</v>
      </c>
      <c r="C9">
        <v>7</v>
      </c>
      <c r="D9">
        <v>2</v>
      </c>
      <c r="F9" t="s">
        <v>62</v>
      </c>
      <c r="G9">
        <v>4829</v>
      </c>
      <c r="H9">
        <v>445.76475460760003</v>
      </c>
      <c r="I9">
        <v>5690</v>
      </c>
      <c r="J9">
        <v>1030</v>
      </c>
      <c r="K9">
        <v>6108</v>
      </c>
      <c r="L9">
        <v>4370</v>
      </c>
      <c r="M9">
        <v>1092</v>
      </c>
      <c r="N9">
        <v>639</v>
      </c>
      <c r="O9">
        <v>1168</v>
      </c>
      <c r="P9">
        <v>658</v>
      </c>
      <c r="Q9">
        <v>1</v>
      </c>
      <c r="R9">
        <v>250</v>
      </c>
      <c r="AH9" t="s">
        <v>373</v>
      </c>
      <c r="AI9">
        <v>1558</v>
      </c>
      <c r="AJ9">
        <v>310.63093709880002</v>
      </c>
      <c r="AK9">
        <v>1942</v>
      </c>
      <c r="AL9">
        <v>363</v>
      </c>
      <c r="AM9">
        <v>3230</v>
      </c>
      <c r="AN9">
        <v>2058</v>
      </c>
      <c r="AO9">
        <v>630</v>
      </c>
      <c r="AP9">
        <v>363</v>
      </c>
      <c r="AQ9">
        <v>1027</v>
      </c>
      <c r="AR9">
        <v>684</v>
      </c>
      <c r="AS9">
        <v>296</v>
      </c>
      <c r="AT9">
        <v>4</v>
      </c>
      <c r="AV9" t="s">
        <v>417</v>
      </c>
      <c r="AW9">
        <v>32</v>
      </c>
      <c r="AX9">
        <v>90.71875</v>
      </c>
      <c r="AY9">
        <v>52</v>
      </c>
      <c r="AZ9">
        <v>9</v>
      </c>
      <c r="BA9">
        <v>39</v>
      </c>
      <c r="BB9">
        <v>10</v>
      </c>
      <c r="BC9">
        <v>1</v>
      </c>
      <c r="BD9">
        <v>1</v>
      </c>
      <c r="BE9">
        <v>4</v>
      </c>
      <c r="BF9">
        <v>2</v>
      </c>
      <c r="BG9">
        <v>11</v>
      </c>
      <c r="BH9">
        <v>9</v>
      </c>
      <c r="BJ9" t="s">
        <v>555</v>
      </c>
      <c r="BK9" t="s">
        <v>385</v>
      </c>
      <c r="BL9">
        <v>4054</v>
      </c>
      <c r="BM9">
        <v>1097</v>
      </c>
      <c r="BN9">
        <v>105.7587567834</v>
      </c>
      <c r="BO9">
        <v>2165</v>
      </c>
      <c r="BP9">
        <v>631</v>
      </c>
      <c r="BQ9">
        <v>149.10854503460001</v>
      </c>
      <c r="BR9">
        <v>150.44215530899999</v>
      </c>
      <c r="BS9">
        <v>4651</v>
      </c>
      <c r="BT9">
        <v>1634</v>
      </c>
      <c r="BU9">
        <v>125.2900451516</v>
      </c>
      <c r="BV9">
        <v>3046</v>
      </c>
      <c r="BW9">
        <v>711</v>
      </c>
      <c r="BX9">
        <v>145.46881155610001</v>
      </c>
      <c r="BY9">
        <v>160.38677918420001</v>
      </c>
      <c r="CA9" t="s">
        <v>387</v>
      </c>
      <c r="CB9" t="s">
        <v>767</v>
      </c>
      <c r="CC9" t="s">
        <v>996</v>
      </c>
      <c r="CD9">
        <v>5732</v>
      </c>
      <c r="CE9">
        <v>1051</v>
      </c>
      <c r="CF9">
        <v>86.155094207999994</v>
      </c>
      <c r="CG9">
        <v>4472</v>
      </c>
      <c r="CH9">
        <v>976</v>
      </c>
      <c r="CI9">
        <v>130.03868515209999</v>
      </c>
      <c r="CJ9">
        <v>127.95901639340001</v>
      </c>
      <c r="CL9" t="s">
        <v>387</v>
      </c>
      <c r="CM9" t="s">
        <v>748</v>
      </c>
      <c r="CN9" t="s">
        <v>750</v>
      </c>
      <c r="CO9">
        <v>444</v>
      </c>
      <c r="CP9">
        <v>42</v>
      </c>
      <c r="CQ9">
        <v>65.101351351399998</v>
      </c>
      <c r="CR9">
        <v>586</v>
      </c>
      <c r="CS9">
        <v>170</v>
      </c>
      <c r="CT9">
        <v>65.474402730400001</v>
      </c>
      <c r="CU9">
        <v>79.111764705900001</v>
      </c>
      <c r="CW9" t="s">
        <v>387</v>
      </c>
      <c r="CX9" t="s">
        <v>758</v>
      </c>
      <c r="CY9" t="s">
        <v>760</v>
      </c>
      <c r="CZ9">
        <v>84</v>
      </c>
      <c r="DA9">
        <v>15</v>
      </c>
      <c r="DB9">
        <v>83.511904761899999</v>
      </c>
      <c r="DC9">
        <v>23</v>
      </c>
      <c r="DD9">
        <v>9</v>
      </c>
      <c r="DE9">
        <v>142.73913043479999</v>
      </c>
      <c r="DF9">
        <v>191.8888888889</v>
      </c>
      <c r="DH9" t="s">
        <v>387</v>
      </c>
      <c r="DI9" t="s">
        <v>738</v>
      </c>
      <c r="DJ9" t="s">
        <v>740</v>
      </c>
      <c r="DK9">
        <v>182</v>
      </c>
      <c r="DL9">
        <v>19</v>
      </c>
      <c r="DM9">
        <v>73.219780219800001</v>
      </c>
      <c r="DN9">
        <v>67</v>
      </c>
      <c r="DO9">
        <v>17</v>
      </c>
      <c r="DP9">
        <v>101.9253731343</v>
      </c>
      <c r="DQ9">
        <v>127.4705882353</v>
      </c>
    </row>
    <row r="10" spans="2:121" x14ac:dyDescent="0.2">
      <c r="B10" t="s">
        <v>313</v>
      </c>
      <c r="C10">
        <v>1</v>
      </c>
      <c r="F10" t="s">
        <v>24</v>
      </c>
      <c r="G10">
        <v>1573</v>
      </c>
      <c r="H10">
        <v>169.6052129688</v>
      </c>
      <c r="I10">
        <v>3863</v>
      </c>
      <c r="J10">
        <v>767</v>
      </c>
      <c r="K10">
        <v>2585</v>
      </c>
      <c r="L10">
        <v>1087</v>
      </c>
      <c r="M10">
        <v>1011</v>
      </c>
      <c r="N10">
        <v>458</v>
      </c>
      <c r="O10">
        <v>415</v>
      </c>
      <c r="P10">
        <v>252</v>
      </c>
      <c r="Q10">
        <v>0</v>
      </c>
      <c r="R10">
        <v>0</v>
      </c>
      <c r="AH10" t="s">
        <v>423</v>
      </c>
      <c r="AI10">
        <v>846</v>
      </c>
      <c r="AJ10">
        <v>397.83569739950002</v>
      </c>
      <c r="AK10">
        <v>873</v>
      </c>
      <c r="AL10">
        <v>256</v>
      </c>
      <c r="AM10">
        <v>1139</v>
      </c>
      <c r="AN10">
        <v>779</v>
      </c>
      <c r="AO10">
        <v>265</v>
      </c>
      <c r="AP10">
        <v>158</v>
      </c>
      <c r="AQ10">
        <v>365</v>
      </c>
      <c r="AR10">
        <v>202</v>
      </c>
      <c r="AS10">
        <v>74</v>
      </c>
      <c r="AT10">
        <v>1</v>
      </c>
      <c r="AV10" t="s">
        <v>371</v>
      </c>
      <c r="AW10">
        <v>398</v>
      </c>
      <c r="AX10">
        <v>97.5</v>
      </c>
      <c r="AY10">
        <v>626</v>
      </c>
      <c r="AZ10">
        <v>129</v>
      </c>
      <c r="BA10">
        <v>548</v>
      </c>
      <c r="BB10">
        <v>195</v>
      </c>
      <c r="BC10">
        <v>10</v>
      </c>
      <c r="BD10">
        <v>10</v>
      </c>
      <c r="BE10">
        <v>44</v>
      </c>
      <c r="BF10">
        <v>13</v>
      </c>
      <c r="BG10">
        <v>57</v>
      </c>
      <c r="BH10">
        <v>176</v>
      </c>
      <c r="BJ10" t="s">
        <v>607</v>
      </c>
      <c r="BK10" t="s">
        <v>385</v>
      </c>
      <c r="BL10">
        <v>3820</v>
      </c>
      <c r="BM10">
        <v>574</v>
      </c>
      <c r="BN10">
        <v>80.229581151800005</v>
      </c>
      <c r="BO10">
        <v>2673</v>
      </c>
      <c r="BP10">
        <v>624</v>
      </c>
      <c r="BQ10">
        <v>124.9584736251</v>
      </c>
      <c r="BR10">
        <v>138.0544871795</v>
      </c>
      <c r="BS10">
        <v>4093</v>
      </c>
      <c r="BT10">
        <v>868</v>
      </c>
      <c r="BU10">
        <v>89.015636452500004</v>
      </c>
      <c r="BV10">
        <v>3232</v>
      </c>
      <c r="BW10">
        <v>788</v>
      </c>
      <c r="BX10">
        <v>135.38149752480001</v>
      </c>
      <c r="BY10">
        <v>149.96573604060001</v>
      </c>
      <c r="CA10" t="s">
        <v>389</v>
      </c>
      <c r="CB10" t="s">
        <v>767</v>
      </c>
      <c r="CC10" t="s">
        <v>997</v>
      </c>
      <c r="CD10">
        <v>4212</v>
      </c>
      <c r="CE10">
        <v>1133</v>
      </c>
      <c r="CF10">
        <v>105.44349477679999</v>
      </c>
      <c r="CG10">
        <v>2366</v>
      </c>
      <c r="CH10">
        <v>663</v>
      </c>
      <c r="CI10">
        <v>143.83854606930001</v>
      </c>
      <c r="CJ10">
        <v>144.58672699850001</v>
      </c>
      <c r="CL10" t="s">
        <v>389</v>
      </c>
      <c r="CM10" t="s">
        <v>748</v>
      </c>
      <c r="CN10" t="s">
        <v>751</v>
      </c>
      <c r="CO10">
        <v>383</v>
      </c>
      <c r="CP10">
        <v>40</v>
      </c>
      <c r="CQ10">
        <v>66.775456919099994</v>
      </c>
      <c r="CR10">
        <v>399</v>
      </c>
      <c r="CS10">
        <v>99</v>
      </c>
      <c r="CT10">
        <v>69.451127819500002</v>
      </c>
      <c r="CU10">
        <v>76.101010101</v>
      </c>
      <c r="CW10" t="s">
        <v>389</v>
      </c>
      <c r="CX10" t="s">
        <v>758</v>
      </c>
      <c r="CY10" t="s">
        <v>761</v>
      </c>
      <c r="CZ10">
        <v>85</v>
      </c>
      <c r="DA10">
        <v>21</v>
      </c>
      <c r="DB10">
        <v>88.070588235299994</v>
      </c>
      <c r="DC10">
        <v>40</v>
      </c>
      <c r="DD10">
        <v>11</v>
      </c>
      <c r="DE10">
        <v>145</v>
      </c>
      <c r="DF10">
        <v>165.2727272727</v>
      </c>
      <c r="DH10" t="s">
        <v>389</v>
      </c>
      <c r="DI10" t="s">
        <v>738</v>
      </c>
      <c r="DJ10" t="s">
        <v>741</v>
      </c>
      <c r="DK10">
        <v>84</v>
      </c>
      <c r="DL10">
        <v>16</v>
      </c>
      <c r="DM10">
        <v>87.273809523799997</v>
      </c>
      <c r="DN10">
        <v>34</v>
      </c>
      <c r="DO10">
        <v>7</v>
      </c>
      <c r="DP10">
        <v>141.6176470588</v>
      </c>
      <c r="DQ10">
        <v>116</v>
      </c>
    </row>
    <row r="11" spans="2:121" x14ac:dyDescent="0.2">
      <c r="B11" t="s">
        <v>114</v>
      </c>
      <c r="C11">
        <v>8023</v>
      </c>
      <c r="D11">
        <v>326</v>
      </c>
      <c r="F11" t="s">
        <v>36</v>
      </c>
      <c r="G11">
        <v>8005</v>
      </c>
      <c r="H11">
        <v>717.97114303559999</v>
      </c>
      <c r="I11">
        <v>4874</v>
      </c>
      <c r="J11">
        <v>995</v>
      </c>
      <c r="K11">
        <v>9352</v>
      </c>
      <c r="L11">
        <v>7685</v>
      </c>
      <c r="M11">
        <v>1459</v>
      </c>
      <c r="N11">
        <v>1086</v>
      </c>
      <c r="O11">
        <v>5982</v>
      </c>
      <c r="P11">
        <v>5151</v>
      </c>
      <c r="Q11">
        <v>0</v>
      </c>
      <c r="R11">
        <v>3</v>
      </c>
      <c r="AH11" t="s">
        <v>414</v>
      </c>
      <c r="AI11">
        <v>474</v>
      </c>
      <c r="AJ11">
        <v>530.25949367090004</v>
      </c>
      <c r="AK11">
        <v>444</v>
      </c>
      <c r="AL11">
        <v>105</v>
      </c>
      <c r="AM11">
        <v>662</v>
      </c>
      <c r="AN11">
        <v>473</v>
      </c>
      <c r="AO11">
        <v>218</v>
      </c>
      <c r="AP11">
        <v>162</v>
      </c>
      <c r="AQ11">
        <v>378</v>
      </c>
      <c r="AR11">
        <v>301</v>
      </c>
      <c r="AS11">
        <v>23</v>
      </c>
      <c r="AT11">
        <v>0</v>
      </c>
      <c r="AV11" t="s">
        <v>425</v>
      </c>
      <c r="AW11">
        <v>2526</v>
      </c>
      <c r="AX11">
        <v>102.104908947</v>
      </c>
      <c r="AY11">
        <v>3637</v>
      </c>
      <c r="AZ11">
        <v>732</v>
      </c>
      <c r="BA11">
        <v>3448</v>
      </c>
      <c r="BB11">
        <v>1159</v>
      </c>
      <c r="BC11">
        <v>89</v>
      </c>
      <c r="BD11">
        <v>86</v>
      </c>
      <c r="BE11">
        <v>191</v>
      </c>
      <c r="BF11">
        <v>66</v>
      </c>
      <c r="BG11">
        <v>450</v>
      </c>
      <c r="BH11">
        <v>775</v>
      </c>
      <c r="BJ11" t="s">
        <v>609</v>
      </c>
      <c r="BK11" t="s">
        <v>385</v>
      </c>
      <c r="BL11">
        <v>5815</v>
      </c>
      <c r="BM11">
        <v>915</v>
      </c>
      <c r="BN11">
        <v>78.940842648300006</v>
      </c>
      <c r="BO11">
        <v>5511</v>
      </c>
      <c r="BP11">
        <v>1641</v>
      </c>
      <c r="BQ11">
        <v>140.1607693704</v>
      </c>
      <c r="BR11">
        <v>110.9329677026</v>
      </c>
      <c r="BS11">
        <v>7613</v>
      </c>
      <c r="BT11">
        <v>1796</v>
      </c>
      <c r="BU11">
        <v>93.228293708099997</v>
      </c>
      <c r="BV11">
        <v>8222</v>
      </c>
      <c r="BW11">
        <v>2233</v>
      </c>
      <c r="BX11">
        <v>141.80175139869999</v>
      </c>
      <c r="BY11">
        <v>121.1652485446</v>
      </c>
      <c r="CA11" t="s">
        <v>418</v>
      </c>
      <c r="CB11" t="s">
        <v>767</v>
      </c>
      <c r="CC11" t="s">
        <v>998</v>
      </c>
      <c r="CD11">
        <v>736</v>
      </c>
      <c r="CE11">
        <v>69</v>
      </c>
      <c r="CF11">
        <v>64.771739130399993</v>
      </c>
      <c r="CG11">
        <v>1001</v>
      </c>
      <c r="CH11">
        <v>186</v>
      </c>
      <c r="CI11">
        <v>91.365634365600002</v>
      </c>
      <c r="CJ11">
        <v>83.908602150500002</v>
      </c>
      <c r="CL11" t="s">
        <v>418</v>
      </c>
      <c r="CM11" t="s">
        <v>748</v>
      </c>
      <c r="CN11" t="s">
        <v>752</v>
      </c>
      <c r="CO11">
        <v>79</v>
      </c>
      <c r="CP11">
        <v>8</v>
      </c>
      <c r="CQ11">
        <v>56.949367088599999</v>
      </c>
      <c r="CR11">
        <v>149</v>
      </c>
      <c r="CS11">
        <v>43</v>
      </c>
      <c r="CT11">
        <v>53.778523489900003</v>
      </c>
      <c r="CU11">
        <v>63.2093023256</v>
      </c>
      <c r="CW11" t="s">
        <v>418</v>
      </c>
      <c r="CX11" t="s">
        <v>758</v>
      </c>
      <c r="CY11" t="s">
        <v>762</v>
      </c>
      <c r="CZ11">
        <v>23</v>
      </c>
      <c r="DA11">
        <v>2</v>
      </c>
      <c r="DB11">
        <v>64.434782608700004</v>
      </c>
      <c r="DC11">
        <v>12</v>
      </c>
      <c r="DD11">
        <v>6</v>
      </c>
      <c r="DE11">
        <v>122.9166666667</v>
      </c>
      <c r="DF11">
        <v>133.6666666667</v>
      </c>
      <c r="DH11" t="s">
        <v>418</v>
      </c>
      <c r="DI11" t="s">
        <v>738</v>
      </c>
      <c r="DJ11" t="s">
        <v>742</v>
      </c>
      <c r="DK11">
        <v>19</v>
      </c>
      <c r="DL11">
        <v>1</v>
      </c>
      <c r="DM11">
        <v>75.157894736800003</v>
      </c>
      <c r="DN11">
        <v>8</v>
      </c>
      <c r="DO11">
        <v>2</v>
      </c>
      <c r="DP11">
        <v>103.5</v>
      </c>
      <c r="DQ11">
        <v>111.5</v>
      </c>
    </row>
    <row r="12" spans="2:121" x14ac:dyDescent="0.2">
      <c r="B12" t="s">
        <v>124</v>
      </c>
      <c r="C12">
        <v>730</v>
      </c>
      <c r="D12">
        <v>372</v>
      </c>
      <c r="F12" t="s">
        <v>60</v>
      </c>
      <c r="G12">
        <v>12441</v>
      </c>
      <c r="H12">
        <v>371.80869705010002</v>
      </c>
      <c r="I12">
        <v>7438</v>
      </c>
      <c r="J12">
        <v>1251</v>
      </c>
      <c r="K12">
        <v>13876</v>
      </c>
      <c r="L12">
        <v>10083</v>
      </c>
      <c r="M12">
        <v>4742</v>
      </c>
      <c r="N12">
        <v>3769</v>
      </c>
      <c r="O12">
        <v>1733</v>
      </c>
      <c r="P12">
        <v>1297</v>
      </c>
      <c r="Q12">
        <v>0</v>
      </c>
      <c r="R12">
        <v>356</v>
      </c>
      <c r="T12" t="s">
        <v>648</v>
      </c>
      <c r="U12" t="s">
        <v>305</v>
      </c>
      <c r="V12" t="s">
        <v>136</v>
      </c>
      <c r="W12" t="s">
        <v>217</v>
      </c>
      <c r="X12" t="s">
        <v>218</v>
      </c>
      <c r="Y12" t="s">
        <v>219</v>
      </c>
      <c r="Z12" t="s">
        <v>220</v>
      </c>
      <c r="AA12" t="s">
        <v>221</v>
      </c>
      <c r="AB12" t="s">
        <v>222</v>
      </c>
      <c r="AC12" t="s">
        <v>223</v>
      </c>
      <c r="AD12" t="s">
        <v>224</v>
      </c>
      <c r="AE12" t="s">
        <v>225</v>
      </c>
      <c r="AF12" t="s">
        <v>226</v>
      </c>
      <c r="AH12" t="s">
        <v>425</v>
      </c>
      <c r="AI12">
        <v>20830</v>
      </c>
      <c r="AJ12">
        <v>326.8901584253</v>
      </c>
      <c r="AK12">
        <v>23707</v>
      </c>
      <c r="AL12">
        <v>5834</v>
      </c>
      <c r="AM12">
        <v>29104</v>
      </c>
      <c r="AN12">
        <v>18697</v>
      </c>
      <c r="AO12">
        <v>6955</v>
      </c>
      <c r="AP12">
        <v>3751</v>
      </c>
      <c r="AQ12">
        <v>15714</v>
      </c>
      <c r="AR12">
        <v>8932</v>
      </c>
      <c r="AS12">
        <v>2089</v>
      </c>
      <c r="AT12">
        <v>261</v>
      </c>
      <c r="AV12" t="s">
        <v>387</v>
      </c>
      <c r="AW12">
        <v>238</v>
      </c>
      <c r="AX12">
        <v>60.243697478999998</v>
      </c>
      <c r="AY12">
        <v>482</v>
      </c>
      <c r="AZ12">
        <v>27</v>
      </c>
      <c r="BA12">
        <v>356</v>
      </c>
      <c r="BB12">
        <v>26</v>
      </c>
      <c r="BC12">
        <v>2</v>
      </c>
      <c r="BD12">
        <v>1</v>
      </c>
      <c r="BE12">
        <v>29</v>
      </c>
      <c r="BF12">
        <v>3</v>
      </c>
      <c r="BG12">
        <v>75</v>
      </c>
      <c r="BH12">
        <v>67</v>
      </c>
      <c r="BJ12" t="s">
        <v>551</v>
      </c>
      <c r="BK12" t="s">
        <v>385</v>
      </c>
      <c r="BL12">
        <v>5617</v>
      </c>
      <c r="BM12">
        <v>1010</v>
      </c>
      <c r="BN12">
        <v>85.154530888400004</v>
      </c>
      <c r="BO12">
        <v>4165</v>
      </c>
      <c r="BP12">
        <v>904</v>
      </c>
      <c r="BQ12">
        <v>133.1728691477</v>
      </c>
      <c r="BR12">
        <v>133.45685840709999</v>
      </c>
      <c r="BS12">
        <v>5194</v>
      </c>
      <c r="BT12">
        <v>655</v>
      </c>
      <c r="BU12">
        <v>74.418752406600007</v>
      </c>
      <c r="BV12">
        <v>3140</v>
      </c>
      <c r="BW12">
        <v>785</v>
      </c>
      <c r="BX12">
        <v>125.8942675159</v>
      </c>
      <c r="BY12">
        <v>121.80509554139999</v>
      </c>
      <c r="CA12" t="s">
        <v>412</v>
      </c>
      <c r="CB12" t="s">
        <v>767</v>
      </c>
      <c r="CC12" t="s">
        <v>999</v>
      </c>
      <c r="CD12">
        <v>5953</v>
      </c>
      <c r="CE12">
        <v>948</v>
      </c>
      <c r="CF12">
        <v>78.071896522800003</v>
      </c>
      <c r="CG12">
        <v>5554</v>
      </c>
      <c r="CH12">
        <v>1659</v>
      </c>
      <c r="CI12">
        <v>108.73586604250001</v>
      </c>
      <c r="CJ12">
        <v>98.773960216999996</v>
      </c>
      <c r="CL12" t="s">
        <v>412</v>
      </c>
      <c r="CM12" t="s">
        <v>748</v>
      </c>
      <c r="CN12" t="s">
        <v>753</v>
      </c>
      <c r="CO12">
        <v>430</v>
      </c>
      <c r="CP12">
        <v>36</v>
      </c>
      <c r="CQ12">
        <v>59.9209302326</v>
      </c>
      <c r="CR12">
        <v>672</v>
      </c>
      <c r="CS12">
        <v>163</v>
      </c>
      <c r="CT12">
        <v>62.904761904799997</v>
      </c>
      <c r="CU12">
        <v>62.220858895699998</v>
      </c>
      <c r="CW12" t="s">
        <v>412</v>
      </c>
      <c r="CX12" t="s">
        <v>758</v>
      </c>
      <c r="CY12" t="s">
        <v>763</v>
      </c>
      <c r="CZ12">
        <v>126</v>
      </c>
      <c r="DA12">
        <v>14</v>
      </c>
      <c r="DB12">
        <v>70.992063492100002</v>
      </c>
      <c r="DC12">
        <v>60</v>
      </c>
      <c r="DD12">
        <v>15</v>
      </c>
      <c r="DE12">
        <v>134.4333333333</v>
      </c>
      <c r="DF12">
        <v>145.3333333333</v>
      </c>
      <c r="DH12" t="s">
        <v>412</v>
      </c>
      <c r="DI12" t="s">
        <v>738</v>
      </c>
      <c r="DJ12" t="s">
        <v>743</v>
      </c>
      <c r="DK12">
        <v>201</v>
      </c>
      <c r="DL12">
        <v>16</v>
      </c>
      <c r="DM12">
        <v>71.1243781095</v>
      </c>
      <c r="DN12">
        <v>92</v>
      </c>
      <c r="DO12">
        <v>23</v>
      </c>
      <c r="DP12">
        <v>118.9456521739</v>
      </c>
      <c r="DQ12">
        <v>129.5652173913</v>
      </c>
    </row>
    <row r="13" spans="2:121" x14ac:dyDescent="0.2">
      <c r="B13" t="s">
        <v>100</v>
      </c>
      <c r="C13">
        <v>210</v>
      </c>
      <c r="D13">
        <v>129</v>
      </c>
      <c r="F13" t="s">
        <v>37</v>
      </c>
      <c r="G13">
        <v>199</v>
      </c>
      <c r="H13">
        <v>65.512562814099994</v>
      </c>
      <c r="I13">
        <v>1256</v>
      </c>
      <c r="J13">
        <v>244</v>
      </c>
      <c r="K13">
        <v>380</v>
      </c>
      <c r="L13">
        <v>46</v>
      </c>
      <c r="M13">
        <v>266</v>
      </c>
      <c r="N13">
        <v>26</v>
      </c>
      <c r="O13">
        <v>107</v>
      </c>
      <c r="P13">
        <v>50</v>
      </c>
      <c r="Q13">
        <v>0</v>
      </c>
      <c r="R13">
        <v>3</v>
      </c>
      <c r="T13" t="s">
        <v>385</v>
      </c>
      <c r="U13">
        <v>55406</v>
      </c>
      <c r="V13">
        <v>336.36496047359998</v>
      </c>
      <c r="W13">
        <v>64826</v>
      </c>
      <c r="X13">
        <v>14016</v>
      </c>
      <c r="Y13">
        <v>87912</v>
      </c>
      <c r="Z13">
        <v>52119</v>
      </c>
      <c r="AA13">
        <v>23825</v>
      </c>
      <c r="AB13">
        <v>14589</v>
      </c>
      <c r="AC13">
        <v>12706</v>
      </c>
      <c r="AD13">
        <v>7932</v>
      </c>
      <c r="AE13">
        <v>46</v>
      </c>
      <c r="AF13">
        <v>1113</v>
      </c>
      <c r="AH13" t="s">
        <v>381</v>
      </c>
      <c r="AI13">
        <v>16594</v>
      </c>
      <c r="AJ13">
        <v>398.33952030850003</v>
      </c>
      <c r="AK13">
        <v>18502</v>
      </c>
      <c r="AL13">
        <v>4354</v>
      </c>
      <c r="AM13">
        <v>24631</v>
      </c>
      <c r="AN13">
        <v>17135</v>
      </c>
      <c r="AO13">
        <v>8402</v>
      </c>
      <c r="AP13">
        <v>5491</v>
      </c>
      <c r="AQ13">
        <v>13039</v>
      </c>
      <c r="AR13">
        <v>9387</v>
      </c>
      <c r="AS13">
        <v>1051</v>
      </c>
      <c r="AT13">
        <v>19</v>
      </c>
      <c r="AV13" t="s">
        <v>408</v>
      </c>
      <c r="AW13">
        <v>29</v>
      </c>
      <c r="AX13">
        <v>30.4827586207</v>
      </c>
      <c r="AY13">
        <v>123</v>
      </c>
      <c r="BA13">
        <v>60</v>
      </c>
      <c r="BC13">
        <v>1</v>
      </c>
      <c r="BD13">
        <v>1</v>
      </c>
      <c r="BE13">
        <v>3</v>
      </c>
      <c r="BG13">
        <v>98</v>
      </c>
      <c r="BH13">
        <v>10</v>
      </c>
      <c r="BJ13" t="s">
        <v>588</v>
      </c>
      <c r="BK13" t="s">
        <v>385</v>
      </c>
      <c r="BL13">
        <v>2549</v>
      </c>
      <c r="BM13">
        <v>591</v>
      </c>
      <c r="BN13">
        <v>94.177324440999996</v>
      </c>
      <c r="BO13">
        <v>1273</v>
      </c>
      <c r="BP13">
        <v>307</v>
      </c>
      <c r="BQ13">
        <v>150.91123330709999</v>
      </c>
      <c r="BR13">
        <v>141.4006514658</v>
      </c>
      <c r="BS13">
        <v>4613</v>
      </c>
      <c r="BT13">
        <v>1029</v>
      </c>
      <c r="BU13">
        <v>98.087795360900003</v>
      </c>
      <c r="BV13">
        <v>2575</v>
      </c>
      <c r="BW13">
        <v>614</v>
      </c>
      <c r="BX13">
        <v>167.97398058249999</v>
      </c>
      <c r="BY13">
        <v>152.76710097719999</v>
      </c>
      <c r="CA13" t="s">
        <v>410</v>
      </c>
      <c r="CB13" t="s">
        <v>767</v>
      </c>
      <c r="CC13" t="s">
        <v>1000</v>
      </c>
      <c r="CD13">
        <v>33296</v>
      </c>
      <c r="CE13">
        <v>7285</v>
      </c>
      <c r="CF13">
        <v>93.119894281599997</v>
      </c>
      <c r="CG13">
        <v>25856</v>
      </c>
      <c r="CH13">
        <v>6269</v>
      </c>
      <c r="CI13">
        <v>137.3258431312</v>
      </c>
      <c r="CJ13">
        <v>138.875259212</v>
      </c>
      <c r="CL13" t="s">
        <v>410</v>
      </c>
      <c r="CM13" t="s">
        <v>748</v>
      </c>
      <c r="CN13" t="s">
        <v>754</v>
      </c>
      <c r="CO13">
        <v>1768</v>
      </c>
      <c r="CP13">
        <v>135</v>
      </c>
      <c r="CQ13">
        <v>57.926470588199997</v>
      </c>
      <c r="CR13">
        <v>2614</v>
      </c>
      <c r="CS13">
        <v>621</v>
      </c>
      <c r="CT13">
        <v>63.832440703899998</v>
      </c>
      <c r="CU13">
        <v>65.932367149800001</v>
      </c>
      <c r="CW13" t="s">
        <v>410</v>
      </c>
      <c r="CX13" t="s">
        <v>758</v>
      </c>
      <c r="CY13" t="s">
        <v>764</v>
      </c>
      <c r="CZ13">
        <v>1240</v>
      </c>
      <c r="DA13">
        <v>156</v>
      </c>
      <c r="DB13">
        <v>75.995161290300004</v>
      </c>
      <c r="DC13">
        <v>488</v>
      </c>
      <c r="DD13">
        <v>142</v>
      </c>
      <c r="DE13">
        <v>133.29918032789999</v>
      </c>
      <c r="DF13">
        <v>135.7605633803</v>
      </c>
      <c r="DH13" t="s">
        <v>410</v>
      </c>
      <c r="DI13" t="s">
        <v>738</v>
      </c>
      <c r="DJ13" t="s">
        <v>744</v>
      </c>
      <c r="DK13">
        <v>1136</v>
      </c>
      <c r="DL13">
        <v>153</v>
      </c>
      <c r="DM13">
        <v>79.2068661972</v>
      </c>
      <c r="DN13">
        <v>569</v>
      </c>
      <c r="DO13">
        <v>139</v>
      </c>
      <c r="DP13">
        <v>131.8365553603</v>
      </c>
      <c r="DQ13">
        <v>143.17266187050001</v>
      </c>
    </row>
    <row r="14" spans="2:121" x14ac:dyDescent="0.2">
      <c r="B14" t="s">
        <v>131</v>
      </c>
      <c r="C14">
        <v>1430</v>
      </c>
      <c r="D14">
        <v>288</v>
      </c>
      <c r="F14" t="s">
        <v>41</v>
      </c>
      <c r="G14">
        <v>6068</v>
      </c>
      <c r="H14">
        <v>441.5471324984</v>
      </c>
      <c r="I14">
        <v>8236</v>
      </c>
      <c r="J14">
        <v>2056</v>
      </c>
      <c r="K14">
        <v>8452</v>
      </c>
      <c r="L14">
        <v>5611</v>
      </c>
      <c r="M14">
        <v>1737</v>
      </c>
      <c r="N14">
        <v>927</v>
      </c>
      <c r="O14">
        <v>3182</v>
      </c>
      <c r="P14">
        <v>1532</v>
      </c>
      <c r="Q14">
        <v>0</v>
      </c>
      <c r="R14">
        <v>330</v>
      </c>
      <c r="T14" t="s">
        <v>390</v>
      </c>
      <c r="U14">
        <v>40859</v>
      </c>
      <c r="V14">
        <v>351.5533909298</v>
      </c>
      <c r="W14">
        <v>57276</v>
      </c>
      <c r="X14">
        <v>11310</v>
      </c>
      <c r="Y14">
        <v>69297</v>
      </c>
      <c r="Z14">
        <v>36931</v>
      </c>
      <c r="AA14">
        <v>15005</v>
      </c>
      <c r="AB14">
        <v>8809</v>
      </c>
      <c r="AC14">
        <v>14615</v>
      </c>
      <c r="AD14">
        <v>10028</v>
      </c>
      <c r="AE14">
        <v>5703</v>
      </c>
      <c r="AF14">
        <v>1028</v>
      </c>
      <c r="AH14" t="s">
        <v>428</v>
      </c>
      <c r="AI14">
        <v>1686</v>
      </c>
      <c r="AJ14">
        <v>302.27461447209998</v>
      </c>
      <c r="AK14">
        <v>1980</v>
      </c>
      <c r="AL14">
        <v>306</v>
      </c>
      <c r="AM14">
        <v>2375</v>
      </c>
      <c r="AN14">
        <v>1536</v>
      </c>
      <c r="AO14">
        <v>1077</v>
      </c>
      <c r="AP14">
        <v>570</v>
      </c>
      <c r="AQ14">
        <v>458</v>
      </c>
      <c r="AR14">
        <v>245</v>
      </c>
      <c r="AS14">
        <v>3</v>
      </c>
      <c r="AT14">
        <v>4</v>
      </c>
      <c r="AV14" t="s">
        <v>393</v>
      </c>
      <c r="AW14">
        <v>175</v>
      </c>
      <c r="AX14">
        <v>55.7657142857</v>
      </c>
      <c r="AY14">
        <v>433</v>
      </c>
      <c r="AZ14">
        <v>34</v>
      </c>
      <c r="BA14">
        <v>295</v>
      </c>
      <c r="BB14">
        <v>23</v>
      </c>
      <c r="BC14">
        <v>2</v>
      </c>
      <c r="BD14">
        <v>1</v>
      </c>
      <c r="BE14">
        <v>44</v>
      </c>
      <c r="BF14">
        <v>10</v>
      </c>
      <c r="BG14">
        <v>65</v>
      </c>
      <c r="BH14">
        <v>65</v>
      </c>
      <c r="BJ14" t="s">
        <v>605</v>
      </c>
      <c r="BK14" t="s">
        <v>385</v>
      </c>
      <c r="BL14">
        <v>16939</v>
      </c>
      <c r="BM14">
        <v>3183</v>
      </c>
      <c r="BN14">
        <v>87.123501977700002</v>
      </c>
      <c r="BO14">
        <v>11663</v>
      </c>
      <c r="BP14">
        <v>3149</v>
      </c>
      <c r="BQ14">
        <v>140.51453313900001</v>
      </c>
      <c r="BR14">
        <v>140.63734518890001</v>
      </c>
      <c r="BS14">
        <v>15734</v>
      </c>
      <c r="BT14">
        <v>2989</v>
      </c>
      <c r="BU14">
        <v>86.704334562100001</v>
      </c>
      <c r="BV14">
        <v>11329</v>
      </c>
      <c r="BW14">
        <v>3071</v>
      </c>
      <c r="BX14">
        <v>138.92691323150001</v>
      </c>
      <c r="BY14">
        <v>139.3712145881</v>
      </c>
      <c r="CA14" t="s">
        <v>406</v>
      </c>
      <c r="CB14" t="s">
        <v>767</v>
      </c>
      <c r="CC14" t="s">
        <v>1001</v>
      </c>
      <c r="CD14">
        <v>2247</v>
      </c>
      <c r="CE14">
        <v>541</v>
      </c>
      <c r="CF14">
        <v>94.490876724499998</v>
      </c>
      <c r="CG14">
        <v>1113</v>
      </c>
      <c r="CH14">
        <v>272</v>
      </c>
      <c r="CI14">
        <v>147.76010781670001</v>
      </c>
      <c r="CJ14">
        <v>137.04779411760001</v>
      </c>
      <c r="CL14" t="s">
        <v>406</v>
      </c>
      <c r="CM14" t="s">
        <v>748</v>
      </c>
      <c r="CN14" t="s">
        <v>755</v>
      </c>
      <c r="CO14">
        <v>166</v>
      </c>
      <c r="CP14">
        <v>12</v>
      </c>
      <c r="CQ14">
        <v>61.2048192771</v>
      </c>
      <c r="CR14">
        <v>228</v>
      </c>
      <c r="CS14">
        <v>51</v>
      </c>
      <c r="CT14">
        <v>62.8464912281</v>
      </c>
      <c r="CU14">
        <v>71.549019607800005</v>
      </c>
      <c r="CW14" t="s">
        <v>406</v>
      </c>
      <c r="CX14" t="s">
        <v>758</v>
      </c>
      <c r="CY14" t="s">
        <v>765</v>
      </c>
      <c r="CZ14">
        <v>56</v>
      </c>
      <c r="DA14">
        <v>10</v>
      </c>
      <c r="DB14">
        <v>80.785714285699996</v>
      </c>
      <c r="DC14">
        <v>43</v>
      </c>
      <c r="DD14">
        <v>13</v>
      </c>
      <c r="DE14">
        <v>139.09302325580001</v>
      </c>
      <c r="DF14">
        <v>170.76923076919999</v>
      </c>
      <c r="DH14" t="s">
        <v>406</v>
      </c>
      <c r="DI14" t="s">
        <v>738</v>
      </c>
      <c r="DJ14" t="s">
        <v>745</v>
      </c>
      <c r="DK14">
        <v>71</v>
      </c>
      <c r="DL14">
        <v>11</v>
      </c>
      <c r="DM14">
        <v>83.690140845100004</v>
      </c>
      <c r="DN14">
        <v>40</v>
      </c>
      <c r="DO14">
        <v>8</v>
      </c>
      <c r="DP14">
        <v>100.25</v>
      </c>
      <c r="DQ14">
        <v>105.625</v>
      </c>
    </row>
    <row r="15" spans="2:121" x14ac:dyDescent="0.2">
      <c r="B15" t="s">
        <v>121</v>
      </c>
      <c r="C15">
        <v>24</v>
      </c>
      <c r="D15">
        <v>9</v>
      </c>
      <c r="F15" t="s">
        <v>39</v>
      </c>
      <c r="G15">
        <v>423</v>
      </c>
      <c r="H15">
        <v>267.72576832150003</v>
      </c>
      <c r="I15">
        <v>825</v>
      </c>
      <c r="J15">
        <v>114</v>
      </c>
      <c r="K15">
        <v>664</v>
      </c>
      <c r="L15">
        <v>329</v>
      </c>
      <c r="M15">
        <v>145</v>
      </c>
      <c r="N15">
        <v>58</v>
      </c>
      <c r="O15">
        <v>102</v>
      </c>
      <c r="P15">
        <v>29</v>
      </c>
      <c r="Q15">
        <v>2</v>
      </c>
      <c r="R15">
        <v>4</v>
      </c>
      <c r="T15" t="s">
        <v>369</v>
      </c>
      <c r="U15">
        <v>105110</v>
      </c>
      <c r="V15">
        <v>470.12215773949998</v>
      </c>
      <c r="W15">
        <v>79175</v>
      </c>
      <c r="X15">
        <v>18063</v>
      </c>
      <c r="Y15">
        <v>138246</v>
      </c>
      <c r="Z15">
        <v>100972</v>
      </c>
      <c r="AA15">
        <v>38722</v>
      </c>
      <c r="AB15">
        <v>25958</v>
      </c>
      <c r="AC15">
        <v>30586</v>
      </c>
      <c r="AD15">
        <v>25152</v>
      </c>
      <c r="AE15">
        <v>12620</v>
      </c>
      <c r="AF15">
        <v>51</v>
      </c>
      <c r="AH15" t="s">
        <v>408</v>
      </c>
      <c r="AI15">
        <v>730</v>
      </c>
      <c r="AJ15">
        <v>294.46575342469998</v>
      </c>
      <c r="AK15">
        <v>1434</v>
      </c>
      <c r="AL15">
        <v>278</v>
      </c>
      <c r="AM15">
        <v>1145</v>
      </c>
      <c r="AN15">
        <v>605</v>
      </c>
      <c r="AO15">
        <v>415</v>
      </c>
      <c r="AP15">
        <v>167</v>
      </c>
      <c r="AQ15">
        <v>369</v>
      </c>
      <c r="AR15">
        <v>195</v>
      </c>
      <c r="AS15">
        <v>2</v>
      </c>
      <c r="AT15">
        <v>4</v>
      </c>
      <c r="AV15" t="s">
        <v>412</v>
      </c>
      <c r="AW15">
        <v>113</v>
      </c>
      <c r="AX15">
        <v>37.6814159292</v>
      </c>
      <c r="AY15">
        <v>305</v>
      </c>
      <c r="AZ15">
        <v>4</v>
      </c>
      <c r="BA15">
        <v>165</v>
      </c>
      <c r="BB15">
        <v>7</v>
      </c>
      <c r="BC15">
        <v>2</v>
      </c>
      <c r="BD15">
        <v>2</v>
      </c>
      <c r="BE15">
        <v>10</v>
      </c>
      <c r="BF15">
        <v>7</v>
      </c>
      <c r="BG15">
        <v>483</v>
      </c>
      <c r="BH15">
        <v>37</v>
      </c>
      <c r="BJ15" t="s">
        <v>567</v>
      </c>
      <c r="BK15" t="s">
        <v>390</v>
      </c>
      <c r="BL15">
        <v>6961</v>
      </c>
      <c r="BM15">
        <v>1747</v>
      </c>
      <c r="BN15">
        <v>100.1450940957</v>
      </c>
      <c r="BO15">
        <v>4076</v>
      </c>
      <c r="BP15">
        <v>1119</v>
      </c>
      <c r="BQ15">
        <v>161.1746810599</v>
      </c>
      <c r="BR15">
        <v>155.6881143878</v>
      </c>
      <c r="BS15">
        <v>3950</v>
      </c>
      <c r="BT15">
        <v>942</v>
      </c>
      <c r="BU15">
        <v>91.365316455699997</v>
      </c>
      <c r="BV15">
        <v>2418</v>
      </c>
      <c r="BW15">
        <v>709</v>
      </c>
      <c r="BX15">
        <v>140.84739454090001</v>
      </c>
      <c r="BY15">
        <v>134.33850493649999</v>
      </c>
      <c r="CA15" t="s">
        <v>421</v>
      </c>
      <c r="CB15" t="s">
        <v>767</v>
      </c>
      <c r="CC15" t="s">
        <v>1002</v>
      </c>
      <c r="CD15">
        <v>880</v>
      </c>
      <c r="CE15">
        <v>134</v>
      </c>
      <c r="CF15">
        <v>84.511363636400006</v>
      </c>
      <c r="CG15">
        <v>572</v>
      </c>
      <c r="CH15">
        <v>161</v>
      </c>
      <c r="CI15">
        <v>138.72552447550001</v>
      </c>
      <c r="CJ15">
        <v>150.9254658385</v>
      </c>
      <c r="CL15" t="s">
        <v>421</v>
      </c>
      <c r="CM15" t="s">
        <v>748</v>
      </c>
      <c r="CN15" t="s">
        <v>756</v>
      </c>
      <c r="CO15">
        <v>21</v>
      </c>
      <c r="CP15">
        <v>1</v>
      </c>
      <c r="CQ15">
        <v>53.047619047600001</v>
      </c>
      <c r="CR15">
        <v>46</v>
      </c>
      <c r="CS15">
        <v>14</v>
      </c>
      <c r="CT15">
        <v>63.543478260900002</v>
      </c>
      <c r="CU15">
        <v>62.142857142899999</v>
      </c>
      <c r="CW15" t="s">
        <v>421</v>
      </c>
      <c r="CX15" t="s">
        <v>758</v>
      </c>
      <c r="CY15" t="s">
        <v>766</v>
      </c>
      <c r="CZ15">
        <v>18</v>
      </c>
      <c r="DA15">
        <v>6</v>
      </c>
      <c r="DB15">
        <v>101.8333333333</v>
      </c>
      <c r="DC15">
        <v>11</v>
      </c>
      <c r="DD15">
        <v>4</v>
      </c>
      <c r="DE15">
        <v>143</v>
      </c>
      <c r="DF15">
        <v>152.25</v>
      </c>
      <c r="DH15" t="s">
        <v>421</v>
      </c>
      <c r="DI15" t="s">
        <v>738</v>
      </c>
      <c r="DJ15" t="s">
        <v>746</v>
      </c>
      <c r="DK15">
        <v>14</v>
      </c>
      <c r="DL15">
        <v>5</v>
      </c>
      <c r="DM15">
        <v>114.7142857143</v>
      </c>
      <c r="DN15">
        <v>13</v>
      </c>
      <c r="DO15">
        <v>3</v>
      </c>
      <c r="DP15">
        <v>96.461538461499998</v>
      </c>
      <c r="DQ15">
        <v>117.6666666667</v>
      </c>
    </row>
    <row r="16" spans="2:121" x14ac:dyDescent="0.2">
      <c r="B16" t="s">
        <v>976</v>
      </c>
      <c r="C16">
        <v>4</v>
      </c>
      <c r="D16">
        <v>3</v>
      </c>
      <c r="F16" t="s">
        <v>64</v>
      </c>
      <c r="G16">
        <v>847</v>
      </c>
      <c r="H16">
        <v>128.38252656430001</v>
      </c>
      <c r="I16">
        <v>2490</v>
      </c>
      <c r="J16">
        <v>463</v>
      </c>
      <c r="K16">
        <v>1508</v>
      </c>
      <c r="L16">
        <v>427</v>
      </c>
      <c r="M16">
        <v>763</v>
      </c>
      <c r="N16">
        <v>553</v>
      </c>
      <c r="O16">
        <v>2014</v>
      </c>
      <c r="P16">
        <v>1548</v>
      </c>
      <c r="Q16">
        <v>0</v>
      </c>
      <c r="R16">
        <v>1</v>
      </c>
      <c r="T16" t="s">
        <v>8</v>
      </c>
      <c r="U16">
        <v>56</v>
      </c>
      <c r="V16">
        <v>841.92857142859998</v>
      </c>
      <c r="W16">
        <v>30</v>
      </c>
      <c r="X16">
        <v>1</v>
      </c>
      <c r="Y16">
        <v>60</v>
      </c>
      <c r="Z16">
        <v>52</v>
      </c>
      <c r="AA16">
        <v>9</v>
      </c>
      <c r="AB16">
        <v>7</v>
      </c>
      <c r="AC16">
        <v>47847</v>
      </c>
      <c r="AD16">
        <v>21011</v>
      </c>
      <c r="AE16">
        <v>0</v>
      </c>
      <c r="AF16">
        <v>1</v>
      </c>
      <c r="AH16" t="s">
        <v>394</v>
      </c>
      <c r="AI16">
        <v>7199</v>
      </c>
      <c r="AJ16">
        <v>489.52826781499999</v>
      </c>
      <c r="AK16">
        <v>7548</v>
      </c>
      <c r="AL16">
        <v>1815</v>
      </c>
      <c r="AM16">
        <v>9870</v>
      </c>
      <c r="AN16">
        <v>6831</v>
      </c>
      <c r="AO16">
        <v>2196</v>
      </c>
      <c r="AP16">
        <v>1655</v>
      </c>
      <c r="AQ16">
        <v>2339</v>
      </c>
      <c r="AR16">
        <v>1353</v>
      </c>
      <c r="AS16">
        <v>658</v>
      </c>
      <c r="AT16">
        <v>209</v>
      </c>
      <c r="AV16" t="s">
        <v>375</v>
      </c>
      <c r="AW16">
        <v>1592</v>
      </c>
      <c r="AX16">
        <v>101.739321608</v>
      </c>
      <c r="AY16">
        <v>2675</v>
      </c>
      <c r="AZ16">
        <v>521</v>
      </c>
      <c r="BA16">
        <v>2285</v>
      </c>
      <c r="BB16">
        <v>800</v>
      </c>
      <c r="BC16">
        <v>42</v>
      </c>
      <c r="BD16">
        <v>39</v>
      </c>
      <c r="BE16">
        <v>141</v>
      </c>
      <c r="BF16">
        <v>31</v>
      </c>
      <c r="BG16">
        <v>183</v>
      </c>
      <c r="BH16">
        <v>473</v>
      </c>
      <c r="BJ16" t="s">
        <v>559</v>
      </c>
      <c r="BK16" t="s">
        <v>390</v>
      </c>
      <c r="BL16">
        <v>8514</v>
      </c>
      <c r="BM16">
        <v>2064</v>
      </c>
      <c r="BN16">
        <v>99.571764153199993</v>
      </c>
      <c r="BO16">
        <v>6284</v>
      </c>
      <c r="BP16">
        <v>1626</v>
      </c>
      <c r="BQ16">
        <v>127.0431253978</v>
      </c>
      <c r="BR16">
        <v>127.6070110701</v>
      </c>
      <c r="BS16">
        <v>9029</v>
      </c>
      <c r="BT16">
        <v>2516</v>
      </c>
      <c r="BU16">
        <v>108.3290508362</v>
      </c>
      <c r="BV16">
        <v>7290</v>
      </c>
      <c r="BW16">
        <v>1828</v>
      </c>
      <c r="BX16">
        <v>141.2540466392</v>
      </c>
      <c r="BY16">
        <v>140.98851203500001</v>
      </c>
      <c r="CA16" t="s">
        <v>385</v>
      </c>
      <c r="CB16" t="s">
        <v>767</v>
      </c>
      <c r="CD16">
        <v>63756</v>
      </c>
      <c r="CE16">
        <v>13378</v>
      </c>
      <c r="CF16">
        <v>91.407585168500006</v>
      </c>
      <c r="CG16">
        <v>48153</v>
      </c>
      <c r="CH16">
        <v>11954</v>
      </c>
      <c r="CI16">
        <v>133.24795962869999</v>
      </c>
      <c r="CJ16">
        <v>134.24928894089999</v>
      </c>
      <c r="CL16" t="s">
        <v>385</v>
      </c>
      <c r="CM16" t="s">
        <v>748</v>
      </c>
      <c r="CO16">
        <v>3903</v>
      </c>
      <c r="CP16">
        <v>319</v>
      </c>
      <c r="CQ16">
        <v>60.394312067599998</v>
      </c>
      <c r="CR16">
        <v>5525</v>
      </c>
      <c r="CS16">
        <v>1384</v>
      </c>
      <c r="CT16">
        <v>63.449049773799999</v>
      </c>
      <c r="CU16">
        <v>67.666184971099995</v>
      </c>
      <c r="CW16" t="s">
        <v>385</v>
      </c>
      <c r="CX16" t="s">
        <v>758</v>
      </c>
      <c r="CZ16">
        <v>2008</v>
      </c>
      <c r="DA16">
        <v>266</v>
      </c>
      <c r="DB16">
        <v>76.304780876500004</v>
      </c>
      <c r="DC16">
        <v>816</v>
      </c>
      <c r="DD16">
        <v>245</v>
      </c>
      <c r="DE16">
        <v>135.2524509804</v>
      </c>
      <c r="DF16">
        <v>143.9183673469</v>
      </c>
      <c r="DH16" t="s">
        <v>385</v>
      </c>
      <c r="DI16" t="s">
        <v>738</v>
      </c>
      <c r="DK16">
        <v>2215</v>
      </c>
      <c r="DL16">
        <v>261</v>
      </c>
      <c r="DM16">
        <v>76.520993227999995</v>
      </c>
      <c r="DN16">
        <v>1037</v>
      </c>
      <c r="DO16">
        <v>258</v>
      </c>
      <c r="DP16">
        <v>125.3008678881</v>
      </c>
      <c r="DQ16">
        <v>134.4728682171</v>
      </c>
    </row>
    <row r="17" spans="2:121" x14ac:dyDescent="0.2">
      <c r="B17" t="s">
        <v>97</v>
      </c>
      <c r="C17">
        <v>365</v>
      </c>
      <c r="D17">
        <v>27</v>
      </c>
      <c r="F17" t="s">
        <v>86</v>
      </c>
      <c r="G17">
        <v>18564</v>
      </c>
      <c r="H17">
        <v>357.51001939240001</v>
      </c>
      <c r="I17">
        <v>19428</v>
      </c>
      <c r="J17">
        <v>4921</v>
      </c>
      <c r="K17">
        <v>31100</v>
      </c>
      <c r="L17">
        <v>18993</v>
      </c>
      <c r="M17">
        <v>10554</v>
      </c>
      <c r="N17">
        <v>6574</v>
      </c>
      <c r="O17">
        <v>3293</v>
      </c>
      <c r="P17">
        <v>2711</v>
      </c>
      <c r="Q17">
        <v>1</v>
      </c>
      <c r="R17">
        <v>15</v>
      </c>
      <c r="T17" t="s">
        <v>404</v>
      </c>
      <c r="U17">
        <v>56660</v>
      </c>
      <c r="V17">
        <v>368.86729615249999</v>
      </c>
      <c r="W17">
        <v>59988</v>
      </c>
      <c r="X17">
        <v>11764</v>
      </c>
      <c r="Y17">
        <v>82007</v>
      </c>
      <c r="Z17">
        <v>53526</v>
      </c>
      <c r="AA17">
        <v>26522</v>
      </c>
      <c r="AB17">
        <v>17658</v>
      </c>
      <c r="AC17">
        <v>19629</v>
      </c>
      <c r="AD17">
        <v>15043</v>
      </c>
      <c r="AE17">
        <v>351</v>
      </c>
      <c r="AF17">
        <v>662</v>
      </c>
      <c r="AH17" t="s">
        <v>392</v>
      </c>
      <c r="AI17">
        <v>7306</v>
      </c>
      <c r="AJ17">
        <v>606.90158773610005</v>
      </c>
      <c r="AK17">
        <v>5261</v>
      </c>
      <c r="AL17">
        <v>933</v>
      </c>
      <c r="AM17">
        <v>11258</v>
      </c>
      <c r="AN17">
        <v>7447</v>
      </c>
      <c r="AO17">
        <v>2176</v>
      </c>
      <c r="AP17">
        <v>1486</v>
      </c>
      <c r="AQ17">
        <v>2555</v>
      </c>
      <c r="AR17">
        <v>1828</v>
      </c>
      <c r="AS17">
        <v>478</v>
      </c>
      <c r="AT17">
        <v>190</v>
      </c>
      <c r="AV17" t="s">
        <v>399</v>
      </c>
      <c r="AW17">
        <v>101</v>
      </c>
      <c r="AX17">
        <v>44.297029703</v>
      </c>
      <c r="AY17">
        <v>322</v>
      </c>
      <c r="AZ17">
        <v>4</v>
      </c>
      <c r="BA17">
        <v>156</v>
      </c>
      <c r="BB17">
        <v>4</v>
      </c>
      <c r="BC17">
        <v>0</v>
      </c>
      <c r="BE17">
        <v>5</v>
      </c>
      <c r="BF17">
        <v>1</v>
      </c>
      <c r="BG17">
        <v>295</v>
      </c>
      <c r="BH17">
        <v>15</v>
      </c>
      <c r="BJ17" t="s">
        <v>576</v>
      </c>
      <c r="BK17" t="s">
        <v>390</v>
      </c>
      <c r="BL17">
        <v>2285</v>
      </c>
      <c r="BM17">
        <v>349</v>
      </c>
      <c r="BN17">
        <v>78.201750547000003</v>
      </c>
      <c r="BO17">
        <v>1975</v>
      </c>
      <c r="BP17">
        <v>471</v>
      </c>
      <c r="BQ17">
        <v>110.0146835443</v>
      </c>
      <c r="BR17">
        <v>105.35668789810001</v>
      </c>
      <c r="BS17">
        <v>2962</v>
      </c>
      <c r="BT17">
        <v>791</v>
      </c>
      <c r="BU17">
        <v>99.831532748100003</v>
      </c>
      <c r="BV17">
        <v>2671</v>
      </c>
      <c r="BW17">
        <v>647</v>
      </c>
      <c r="BX17">
        <v>124.3040059903</v>
      </c>
      <c r="BY17">
        <v>119.08500772799999</v>
      </c>
      <c r="CA17" t="s">
        <v>394</v>
      </c>
      <c r="CB17" t="s">
        <v>807</v>
      </c>
      <c r="CC17" t="s">
        <v>1003</v>
      </c>
      <c r="CD17">
        <v>7138</v>
      </c>
      <c r="CE17">
        <v>1756</v>
      </c>
      <c r="CF17">
        <v>98.516811431799994</v>
      </c>
      <c r="CG17">
        <v>4391</v>
      </c>
      <c r="CH17">
        <v>1188</v>
      </c>
      <c r="CI17">
        <v>156.79298565249999</v>
      </c>
      <c r="CJ17">
        <v>152.7777777778</v>
      </c>
      <c r="CL17" t="s">
        <v>394</v>
      </c>
      <c r="CM17" t="s">
        <v>782</v>
      </c>
      <c r="CN17" t="s">
        <v>781</v>
      </c>
      <c r="CO17">
        <v>801</v>
      </c>
      <c r="CP17">
        <v>81</v>
      </c>
      <c r="CQ17">
        <v>71.169787765300001</v>
      </c>
      <c r="CR17">
        <v>1014</v>
      </c>
      <c r="CS17">
        <v>292</v>
      </c>
      <c r="CT17">
        <v>69.630177514799996</v>
      </c>
      <c r="CU17">
        <v>69.253424657500005</v>
      </c>
      <c r="CW17" t="s">
        <v>394</v>
      </c>
      <c r="CX17" t="s">
        <v>795</v>
      </c>
      <c r="CY17" t="s">
        <v>794</v>
      </c>
      <c r="CZ17">
        <v>257</v>
      </c>
      <c r="DA17">
        <v>52</v>
      </c>
      <c r="DB17">
        <v>87.225680933899994</v>
      </c>
      <c r="DC17">
        <v>81</v>
      </c>
      <c r="DD17">
        <v>23</v>
      </c>
      <c r="DE17">
        <v>134.90123456789999</v>
      </c>
      <c r="DF17">
        <v>133.17391304349999</v>
      </c>
      <c r="DH17" t="s">
        <v>394</v>
      </c>
      <c r="DI17" t="s">
        <v>769</v>
      </c>
      <c r="DJ17" t="s">
        <v>768</v>
      </c>
      <c r="DK17">
        <v>180</v>
      </c>
      <c r="DL17">
        <v>21</v>
      </c>
      <c r="DM17">
        <v>71.938888888899996</v>
      </c>
      <c r="DN17">
        <v>114</v>
      </c>
      <c r="DO17">
        <v>31</v>
      </c>
      <c r="DP17">
        <v>119.6578947368</v>
      </c>
      <c r="DQ17">
        <v>139.80645161289999</v>
      </c>
    </row>
    <row r="18" spans="2:121" x14ac:dyDescent="0.2">
      <c r="B18" t="s">
        <v>122</v>
      </c>
      <c r="C18">
        <v>69</v>
      </c>
      <c r="D18">
        <v>48</v>
      </c>
      <c r="F18" t="s">
        <v>73</v>
      </c>
      <c r="G18">
        <v>7720</v>
      </c>
      <c r="H18">
        <v>238.2329015544</v>
      </c>
      <c r="I18">
        <v>2494</v>
      </c>
      <c r="J18">
        <v>588</v>
      </c>
      <c r="K18">
        <v>16770</v>
      </c>
      <c r="L18">
        <v>8378</v>
      </c>
      <c r="M18">
        <v>1996</v>
      </c>
      <c r="N18">
        <v>788</v>
      </c>
      <c r="O18">
        <v>175</v>
      </c>
      <c r="P18">
        <v>101</v>
      </c>
      <c r="Q18">
        <v>0</v>
      </c>
      <c r="R18">
        <v>2</v>
      </c>
      <c r="T18" t="s">
        <v>380</v>
      </c>
      <c r="U18">
        <v>67298</v>
      </c>
      <c r="V18">
        <v>342.9046925614</v>
      </c>
      <c r="W18">
        <v>72574</v>
      </c>
      <c r="X18">
        <v>17126</v>
      </c>
      <c r="Y18">
        <v>95862</v>
      </c>
      <c r="Z18">
        <v>63217</v>
      </c>
      <c r="AA18">
        <v>27838</v>
      </c>
      <c r="AB18">
        <v>18914</v>
      </c>
      <c r="AC18">
        <v>28174</v>
      </c>
      <c r="AD18">
        <v>19252</v>
      </c>
      <c r="AE18">
        <v>142</v>
      </c>
      <c r="AF18">
        <v>1147</v>
      </c>
      <c r="AH18" t="s">
        <v>399</v>
      </c>
      <c r="AI18">
        <v>1452</v>
      </c>
      <c r="AJ18">
        <v>190.75344352619999</v>
      </c>
      <c r="AK18">
        <v>2385</v>
      </c>
      <c r="AL18">
        <v>376</v>
      </c>
      <c r="AM18">
        <v>2446</v>
      </c>
      <c r="AN18">
        <v>1111</v>
      </c>
      <c r="AO18">
        <v>436</v>
      </c>
      <c r="AP18">
        <v>217</v>
      </c>
      <c r="AQ18">
        <v>548</v>
      </c>
      <c r="AR18">
        <v>295</v>
      </c>
      <c r="AS18">
        <v>3</v>
      </c>
      <c r="AT18">
        <v>8</v>
      </c>
      <c r="AV18" t="s">
        <v>428</v>
      </c>
      <c r="AW18">
        <v>15</v>
      </c>
      <c r="AX18">
        <v>57.333333333299997</v>
      </c>
      <c r="AY18">
        <v>32</v>
      </c>
      <c r="AZ18">
        <v>4</v>
      </c>
      <c r="BA18">
        <v>21</v>
      </c>
      <c r="BB18">
        <v>2</v>
      </c>
      <c r="BC18">
        <v>2</v>
      </c>
      <c r="BD18">
        <v>2</v>
      </c>
      <c r="BE18">
        <v>2</v>
      </c>
      <c r="BG18">
        <v>55</v>
      </c>
      <c r="BH18">
        <v>6</v>
      </c>
      <c r="BJ18" t="s">
        <v>569</v>
      </c>
      <c r="BK18" t="s">
        <v>390</v>
      </c>
      <c r="BL18">
        <v>7177</v>
      </c>
      <c r="BM18">
        <v>1742</v>
      </c>
      <c r="BN18">
        <v>99.062560958600002</v>
      </c>
      <c r="BO18">
        <v>4717</v>
      </c>
      <c r="BP18">
        <v>1294</v>
      </c>
      <c r="BQ18">
        <v>146.01589993639999</v>
      </c>
      <c r="BR18">
        <v>135.4451313756</v>
      </c>
      <c r="BS18">
        <v>7124</v>
      </c>
      <c r="BT18">
        <v>1672</v>
      </c>
      <c r="BU18">
        <v>97.614402021299995</v>
      </c>
      <c r="BV18">
        <v>4714</v>
      </c>
      <c r="BW18">
        <v>1299</v>
      </c>
      <c r="BX18">
        <v>142.42575307589999</v>
      </c>
      <c r="BY18">
        <v>134.6304849885</v>
      </c>
      <c r="CA18" t="s">
        <v>392</v>
      </c>
      <c r="CB18" t="s">
        <v>807</v>
      </c>
      <c r="CC18" t="s">
        <v>1004</v>
      </c>
      <c r="CD18">
        <v>4983</v>
      </c>
      <c r="CE18">
        <v>862</v>
      </c>
      <c r="CF18">
        <v>85.0024081878</v>
      </c>
      <c r="CG18">
        <v>3846</v>
      </c>
      <c r="CH18">
        <v>962</v>
      </c>
      <c r="CI18">
        <v>125.11986479460001</v>
      </c>
      <c r="CJ18">
        <v>126.50103950099999</v>
      </c>
      <c r="CL18" t="s">
        <v>392</v>
      </c>
      <c r="CM18" t="s">
        <v>782</v>
      </c>
      <c r="CN18" t="s">
        <v>783</v>
      </c>
      <c r="CO18">
        <v>445</v>
      </c>
      <c r="CP18">
        <v>35</v>
      </c>
      <c r="CQ18">
        <v>61.653932584300001</v>
      </c>
      <c r="CR18">
        <v>600</v>
      </c>
      <c r="CS18">
        <v>161</v>
      </c>
      <c r="CT18">
        <v>77.363333333300005</v>
      </c>
      <c r="CU18">
        <v>75.267080745300007</v>
      </c>
      <c r="CW18" t="s">
        <v>392</v>
      </c>
      <c r="CX18" t="s">
        <v>795</v>
      </c>
      <c r="CY18" t="s">
        <v>796</v>
      </c>
      <c r="CZ18">
        <v>120</v>
      </c>
      <c r="DA18">
        <v>18</v>
      </c>
      <c r="DB18">
        <v>80.174999999999997</v>
      </c>
      <c r="DC18">
        <v>45</v>
      </c>
      <c r="DD18">
        <v>14</v>
      </c>
      <c r="DE18">
        <v>140.4</v>
      </c>
      <c r="DF18">
        <v>132.42857142860001</v>
      </c>
      <c r="DH18" t="s">
        <v>392</v>
      </c>
      <c r="DI18" t="s">
        <v>769</v>
      </c>
      <c r="DJ18" t="s">
        <v>770</v>
      </c>
      <c r="DK18">
        <v>95</v>
      </c>
      <c r="DL18">
        <v>20</v>
      </c>
      <c r="DM18">
        <v>83.842105263199997</v>
      </c>
      <c r="DN18">
        <v>47</v>
      </c>
      <c r="DO18">
        <v>11</v>
      </c>
      <c r="DP18">
        <v>131.91489361699999</v>
      </c>
      <c r="DQ18">
        <v>134.0909090909</v>
      </c>
    </row>
    <row r="19" spans="2:121" x14ac:dyDescent="0.2">
      <c r="B19" t="s">
        <v>126</v>
      </c>
      <c r="C19">
        <v>38</v>
      </c>
      <c r="D19">
        <v>28</v>
      </c>
      <c r="F19" t="s">
        <v>71</v>
      </c>
      <c r="G19">
        <v>3211</v>
      </c>
      <c r="H19">
        <v>471.70507630020001</v>
      </c>
      <c r="I19">
        <v>3394</v>
      </c>
      <c r="J19">
        <v>693</v>
      </c>
      <c r="K19">
        <v>3660</v>
      </c>
      <c r="L19">
        <v>2668</v>
      </c>
      <c r="M19">
        <v>572</v>
      </c>
      <c r="N19">
        <v>413</v>
      </c>
      <c r="O19">
        <v>1025</v>
      </c>
      <c r="P19">
        <v>757</v>
      </c>
      <c r="Q19">
        <v>0</v>
      </c>
      <c r="R19">
        <v>115</v>
      </c>
      <c r="T19" t="s">
        <v>461</v>
      </c>
      <c r="U19">
        <v>325389</v>
      </c>
      <c r="V19">
        <v>388.57879645589998</v>
      </c>
      <c r="W19">
        <v>333869</v>
      </c>
      <c r="X19">
        <v>72280</v>
      </c>
      <c r="Y19">
        <v>473384</v>
      </c>
      <c r="Z19">
        <v>306817</v>
      </c>
      <c r="AA19">
        <v>131921</v>
      </c>
      <c r="AB19">
        <v>85935</v>
      </c>
      <c r="AC19">
        <v>153557</v>
      </c>
      <c r="AD19">
        <v>98418</v>
      </c>
      <c r="AE19">
        <v>18862</v>
      </c>
      <c r="AF19">
        <v>4002</v>
      </c>
      <c r="AH19" t="s">
        <v>422</v>
      </c>
      <c r="AI19">
        <v>2087</v>
      </c>
      <c r="AJ19">
        <v>234.56013416389999</v>
      </c>
      <c r="AK19">
        <v>2817</v>
      </c>
      <c r="AL19">
        <v>495</v>
      </c>
      <c r="AM19">
        <v>3292</v>
      </c>
      <c r="AN19">
        <v>1689</v>
      </c>
      <c r="AO19">
        <v>1148</v>
      </c>
      <c r="AP19">
        <v>431</v>
      </c>
      <c r="AQ19">
        <v>649</v>
      </c>
      <c r="AR19">
        <v>316</v>
      </c>
      <c r="AS19">
        <v>8</v>
      </c>
      <c r="AT19">
        <v>13</v>
      </c>
      <c r="AV19" t="s">
        <v>8</v>
      </c>
      <c r="AW19">
        <v>140</v>
      </c>
      <c r="AX19">
        <v>107.35</v>
      </c>
      <c r="AY19">
        <v>201</v>
      </c>
      <c r="AZ19">
        <v>84</v>
      </c>
      <c r="BA19">
        <v>298</v>
      </c>
      <c r="BB19">
        <v>161</v>
      </c>
      <c r="BC19">
        <v>13</v>
      </c>
      <c r="BD19">
        <v>10</v>
      </c>
      <c r="BE19">
        <v>9</v>
      </c>
      <c r="BF19">
        <v>6</v>
      </c>
      <c r="BG19">
        <v>44</v>
      </c>
      <c r="BH19">
        <v>16</v>
      </c>
      <c r="BJ19" t="s">
        <v>633</v>
      </c>
      <c r="BK19" t="s">
        <v>390</v>
      </c>
      <c r="BL19">
        <v>869</v>
      </c>
      <c r="BM19">
        <v>151</v>
      </c>
      <c r="BN19">
        <v>75.889528193299995</v>
      </c>
      <c r="BO19">
        <v>778</v>
      </c>
      <c r="BP19">
        <v>164</v>
      </c>
      <c r="BQ19">
        <v>102.1876606684</v>
      </c>
      <c r="BR19">
        <v>96.097560975600004</v>
      </c>
      <c r="BS19">
        <v>1253</v>
      </c>
      <c r="BT19">
        <v>351</v>
      </c>
      <c r="BU19">
        <v>95.847565841999995</v>
      </c>
      <c r="BV19">
        <v>1068</v>
      </c>
      <c r="BW19">
        <v>247</v>
      </c>
      <c r="BX19">
        <v>142.1535580524</v>
      </c>
      <c r="BY19">
        <v>120.41700404860001</v>
      </c>
      <c r="CA19" t="s">
        <v>399</v>
      </c>
      <c r="CB19" t="s">
        <v>807</v>
      </c>
      <c r="CC19" t="s">
        <v>1005</v>
      </c>
      <c r="CD19">
        <v>2332</v>
      </c>
      <c r="CE19">
        <v>361</v>
      </c>
      <c r="CF19">
        <v>78.649228130400004</v>
      </c>
      <c r="CG19">
        <v>2077</v>
      </c>
      <c r="CH19">
        <v>495</v>
      </c>
      <c r="CI19">
        <v>109.71738083770001</v>
      </c>
      <c r="CJ19">
        <v>103.2949494949</v>
      </c>
      <c r="CL19" t="s">
        <v>399</v>
      </c>
      <c r="CM19" t="s">
        <v>782</v>
      </c>
      <c r="CN19" t="s">
        <v>784</v>
      </c>
      <c r="CO19">
        <v>264</v>
      </c>
      <c r="CP19">
        <v>10</v>
      </c>
      <c r="CQ19">
        <v>53.810606060600001</v>
      </c>
      <c r="CR19">
        <v>364</v>
      </c>
      <c r="CS19">
        <v>85</v>
      </c>
      <c r="CT19">
        <v>64.848901098900001</v>
      </c>
      <c r="CU19">
        <v>63.470588235299999</v>
      </c>
      <c r="CW19" t="s">
        <v>399</v>
      </c>
      <c r="CX19" t="s">
        <v>795</v>
      </c>
      <c r="CY19" t="s">
        <v>797</v>
      </c>
      <c r="CZ19">
        <v>57</v>
      </c>
      <c r="DA19">
        <v>7</v>
      </c>
      <c r="DB19">
        <v>81.105263157899998</v>
      </c>
      <c r="DC19">
        <v>23</v>
      </c>
      <c r="DD19">
        <v>5</v>
      </c>
      <c r="DE19">
        <v>128.6086956522</v>
      </c>
      <c r="DF19">
        <v>130.4</v>
      </c>
      <c r="DH19" t="s">
        <v>399</v>
      </c>
      <c r="DI19" t="s">
        <v>769</v>
      </c>
      <c r="DJ19" t="s">
        <v>771</v>
      </c>
      <c r="DK19">
        <v>29</v>
      </c>
      <c r="DL19">
        <v>1</v>
      </c>
      <c r="DM19">
        <v>72.241379310300005</v>
      </c>
      <c r="DN19">
        <v>34</v>
      </c>
      <c r="DO19">
        <v>10</v>
      </c>
      <c r="DP19">
        <v>125.9411764706</v>
      </c>
      <c r="DQ19">
        <v>107.4</v>
      </c>
    </row>
    <row r="20" spans="2:121" x14ac:dyDescent="0.2">
      <c r="B20" t="s">
        <v>119</v>
      </c>
      <c r="C20">
        <v>11292</v>
      </c>
      <c r="D20">
        <v>2981</v>
      </c>
      <c r="F20" t="s">
        <v>77</v>
      </c>
      <c r="G20">
        <v>247</v>
      </c>
      <c r="H20">
        <v>97.587044534399993</v>
      </c>
      <c r="I20">
        <v>740</v>
      </c>
      <c r="J20">
        <v>152</v>
      </c>
      <c r="K20">
        <v>483</v>
      </c>
      <c r="L20">
        <v>114</v>
      </c>
      <c r="M20">
        <v>394</v>
      </c>
      <c r="N20">
        <v>179</v>
      </c>
      <c r="O20">
        <v>33</v>
      </c>
      <c r="P20">
        <v>14</v>
      </c>
      <c r="Q20">
        <v>0</v>
      </c>
      <c r="R20">
        <v>0</v>
      </c>
      <c r="AH20" t="s">
        <v>393</v>
      </c>
      <c r="AI20">
        <v>6847</v>
      </c>
      <c r="AJ20">
        <v>541.17584343509998</v>
      </c>
      <c r="AK20">
        <v>4010</v>
      </c>
      <c r="AL20">
        <v>796</v>
      </c>
      <c r="AM20">
        <v>10347</v>
      </c>
      <c r="AN20">
        <v>6888</v>
      </c>
      <c r="AO20">
        <v>3019</v>
      </c>
      <c r="AP20">
        <v>2363</v>
      </c>
      <c r="AQ20">
        <v>1341</v>
      </c>
      <c r="AR20">
        <v>636</v>
      </c>
      <c r="AS20">
        <v>453</v>
      </c>
      <c r="AT20">
        <v>142</v>
      </c>
      <c r="AV20" t="s">
        <v>382</v>
      </c>
      <c r="AW20">
        <v>1279</v>
      </c>
      <c r="AX20">
        <v>103.4308053167</v>
      </c>
      <c r="AY20">
        <v>1538</v>
      </c>
      <c r="AZ20">
        <v>312</v>
      </c>
      <c r="BA20">
        <v>1798</v>
      </c>
      <c r="BB20">
        <v>584</v>
      </c>
      <c r="BC20">
        <v>52</v>
      </c>
      <c r="BD20">
        <v>49</v>
      </c>
      <c r="BE20">
        <v>127</v>
      </c>
      <c r="BF20">
        <v>42</v>
      </c>
      <c r="BG20">
        <v>306</v>
      </c>
      <c r="BH20">
        <v>465</v>
      </c>
      <c r="BJ20" t="s">
        <v>561</v>
      </c>
      <c r="BK20" t="s">
        <v>390</v>
      </c>
      <c r="BL20">
        <v>4879</v>
      </c>
      <c r="BM20">
        <v>858</v>
      </c>
      <c r="BN20">
        <v>85.989956958400001</v>
      </c>
      <c r="BO20">
        <v>3673</v>
      </c>
      <c r="BP20">
        <v>919</v>
      </c>
      <c r="BQ20">
        <v>128.1045466921</v>
      </c>
      <c r="BR20">
        <v>125.6779107726</v>
      </c>
      <c r="BS20">
        <v>5248</v>
      </c>
      <c r="BT20">
        <v>1148</v>
      </c>
      <c r="BU20">
        <v>94.177019817100003</v>
      </c>
      <c r="BV20">
        <v>4015</v>
      </c>
      <c r="BW20">
        <v>1012</v>
      </c>
      <c r="BX20">
        <v>133.2400996264</v>
      </c>
      <c r="BY20">
        <v>131.99604743079999</v>
      </c>
      <c r="CA20" t="s">
        <v>422</v>
      </c>
      <c r="CB20" t="s">
        <v>807</v>
      </c>
      <c r="CC20" t="s">
        <v>1006</v>
      </c>
      <c r="CD20">
        <v>2715</v>
      </c>
      <c r="CE20">
        <v>467</v>
      </c>
      <c r="CF20">
        <v>83.464456721900007</v>
      </c>
      <c r="CG20">
        <v>2099</v>
      </c>
      <c r="CH20">
        <v>519</v>
      </c>
      <c r="CI20">
        <v>131.60886136260001</v>
      </c>
      <c r="CJ20">
        <v>130.83429672450001</v>
      </c>
      <c r="CL20" t="s">
        <v>422</v>
      </c>
      <c r="CM20" t="s">
        <v>782</v>
      </c>
      <c r="CN20" t="s">
        <v>785</v>
      </c>
      <c r="CO20">
        <v>226</v>
      </c>
      <c r="CP20">
        <v>15</v>
      </c>
      <c r="CQ20">
        <v>60.7256637168</v>
      </c>
      <c r="CR20">
        <v>329</v>
      </c>
      <c r="CS20">
        <v>81</v>
      </c>
      <c r="CT20">
        <v>67.413373860199997</v>
      </c>
      <c r="CU20">
        <v>64.518518518500002</v>
      </c>
      <c r="CW20" t="s">
        <v>422</v>
      </c>
      <c r="CX20" t="s">
        <v>795</v>
      </c>
      <c r="CY20" t="s">
        <v>798</v>
      </c>
      <c r="CZ20">
        <v>81</v>
      </c>
      <c r="DA20">
        <v>7</v>
      </c>
      <c r="DB20">
        <v>67.728395061699999</v>
      </c>
      <c r="DC20">
        <v>34</v>
      </c>
      <c r="DD20">
        <v>5</v>
      </c>
      <c r="DE20">
        <v>105.3823529412</v>
      </c>
      <c r="DF20">
        <v>118.8</v>
      </c>
      <c r="DH20" t="s">
        <v>422</v>
      </c>
      <c r="DI20" t="s">
        <v>769</v>
      </c>
      <c r="DJ20" t="s">
        <v>772</v>
      </c>
      <c r="DK20">
        <v>159</v>
      </c>
      <c r="DL20">
        <v>14</v>
      </c>
      <c r="DM20">
        <v>73.345911949699996</v>
      </c>
      <c r="DN20">
        <v>71</v>
      </c>
      <c r="DO20">
        <v>18</v>
      </c>
      <c r="DP20">
        <v>113.6056338028</v>
      </c>
      <c r="DQ20">
        <v>119.6666666667</v>
      </c>
    </row>
    <row r="21" spans="2:121" x14ac:dyDescent="0.2">
      <c r="B21" t="s">
        <v>314</v>
      </c>
      <c r="C21">
        <v>1</v>
      </c>
      <c r="D21">
        <v>1</v>
      </c>
      <c r="F21" t="s">
        <v>47</v>
      </c>
      <c r="G21">
        <v>1364</v>
      </c>
      <c r="H21">
        <v>293.41568914959998</v>
      </c>
      <c r="I21">
        <v>1848</v>
      </c>
      <c r="J21">
        <v>339</v>
      </c>
      <c r="K21">
        <v>2995</v>
      </c>
      <c r="L21">
        <v>1930</v>
      </c>
      <c r="M21">
        <v>604</v>
      </c>
      <c r="N21">
        <v>297</v>
      </c>
      <c r="O21">
        <v>802</v>
      </c>
      <c r="P21">
        <v>612</v>
      </c>
      <c r="Q21">
        <v>0</v>
      </c>
      <c r="R21">
        <v>5</v>
      </c>
      <c r="AH21" t="s">
        <v>387</v>
      </c>
      <c r="AI21">
        <v>5748</v>
      </c>
      <c r="AJ21">
        <v>439.22686151699997</v>
      </c>
      <c r="AK21">
        <v>5838</v>
      </c>
      <c r="AL21">
        <v>1117</v>
      </c>
      <c r="AM21">
        <v>8426</v>
      </c>
      <c r="AN21">
        <v>5518</v>
      </c>
      <c r="AO21">
        <v>1975</v>
      </c>
      <c r="AP21">
        <v>1323</v>
      </c>
      <c r="AQ21">
        <v>2083</v>
      </c>
      <c r="AR21">
        <v>1138</v>
      </c>
      <c r="AS21">
        <v>233</v>
      </c>
      <c r="AT21">
        <v>245</v>
      </c>
      <c r="AV21" t="s">
        <v>422</v>
      </c>
      <c r="AW21">
        <v>78</v>
      </c>
      <c r="AX21">
        <v>44.2692307692</v>
      </c>
      <c r="AY21">
        <v>233</v>
      </c>
      <c r="AZ21">
        <v>5</v>
      </c>
      <c r="BA21">
        <v>120</v>
      </c>
      <c r="BB21">
        <v>3</v>
      </c>
      <c r="BC21">
        <v>1</v>
      </c>
      <c r="BD21">
        <v>1</v>
      </c>
      <c r="BE21">
        <v>5</v>
      </c>
      <c r="BF21">
        <v>1</v>
      </c>
      <c r="BG21">
        <v>149</v>
      </c>
      <c r="BH21">
        <v>23</v>
      </c>
      <c r="BJ21" t="s">
        <v>578</v>
      </c>
      <c r="BK21" t="s">
        <v>390</v>
      </c>
      <c r="BL21">
        <v>2071</v>
      </c>
      <c r="BM21">
        <v>227</v>
      </c>
      <c r="BN21">
        <v>72.519072911600006</v>
      </c>
      <c r="BO21">
        <v>1442</v>
      </c>
      <c r="BP21">
        <v>347</v>
      </c>
      <c r="BQ21">
        <v>115.3217753121</v>
      </c>
      <c r="BR21">
        <v>120.3775216138</v>
      </c>
      <c r="BS21">
        <v>5659</v>
      </c>
      <c r="BT21">
        <v>1459</v>
      </c>
      <c r="BU21">
        <v>98.1072627673</v>
      </c>
      <c r="BV21">
        <v>4178</v>
      </c>
      <c r="BW21">
        <v>1022</v>
      </c>
      <c r="BX21">
        <v>146.0177118238</v>
      </c>
      <c r="BY21">
        <v>152.02544031310001</v>
      </c>
      <c r="CA21" t="s">
        <v>395</v>
      </c>
      <c r="CB21" t="s">
        <v>807</v>
      </c>
      <c r="CC21" t="s">
        <v>1007</v>
      </c>
      <c r="CD21">
        <v>7196</v>
      </c>
      <c r="CE21">
        <v>1696</v>
      </c>
      <c r="CF21">
        <v>97.968315731000004</v>
      </c>
      <c r="CG21">
        <v>4925</v>
      </c>
      <c r="CH21">
        <v>1359</v>
      </c>
      <c r="CI21">
        <v>146.02010152279999</v>
      </c>
      <c r="CJ21">
        <v>134.4047093451</v>
      </c>
      <c r="CL21" t="s">
        <v>395</v>
      </c>
      <c r="CM21" t="s">
        <v>782</v>
      </c>
      <c r="CN21" t="s">
        <v>786</v>
      </c>
      <c r="CO21">
        <v>841</v>
      </c>
      <c r="CP21">
        <v>69</v>
      </c>
      <c r="CQ21">
        <v>65.155766944099994</v>
      </c>
      <c r="CR21">
        <v>1095</v>
      </c>
      <c r="CS21">
        <v>301</v>
      </c>
      <c r="CT21">
        <v>70.744292237400003</v>
      </c>
      <c r="CU21">
        <v>79.192691029900004</v>
      </c>
      <c r="CW21" t="s">
        <v>395</v>
      </c>
      <c r="CX21" t="s">
        <v>795</v>
      </c>
      <c r="CY21" t="s">
        <v>799</v>
      </c>
      <c r="CZ21">
        <v>180</v>
      </c>
      <c r="DA21">
        <v>29</v>
      </c>
      <c r="DB21">
        <v>84.627777777800006</v>
      </c>
      <c r="DC21">
        <v>70</v>
      </c>
      <c r="DD21">
        <v>26</v>
      </c>
      <c r="DE21">
        <v>139.9714285714</v>
      </c>
      <c r="DF21">
        <v>140.23076923080001</v>
      </c>
      <c r="DH21" t="s">
        <v>395</v>
      </c>
      <c r="DI21" t="s">
        <v>769</v>
      </c>
      <c r="DJ21" t="s">
        <v>773</v>
      </c>
      <c r="DK21">
        <v>106</v>
      </c>
      <c r="DL21">
        <v>17</v>
      </c>
      <c r="DM21">
        <v>74.207547169799994</v>
      </c>
      <c r="DN21">
        <v>83</v>
      </c>
      <c r="DO21">
        <v>21</v>
      </c>
      <c r="DP21">
        <v>131.73493975900001</v>
      </c>
      <c r="DQ21">
        <v>143.71428571429999</v>
      </c>
    </row>
    <row r="22" spans="2:121" x14ac:dyDescent="0.2">
      <c r="B22" t="s">
        <v>1063</v>
      </c>
      <c r="C22">
        <v>1278</v>
      </c>
      <c r="D22">
        <v>739</v>
      </c>
      <c r="F22" t="s">
        <v>8</v>
      </c>
      <c r="G22">
        <v>56</v>
      </c>
      <c r="H22">
        <v>841.92857142859998</v>
      </c>
      <c r="I22">
        <v>30</v>
      </c>
      <c r="J22">
        <v>1</v>
      </c>
      <c r="K22">
        <v>60</v>
      </c>
      <c r="L22">
        <v>52</v>
      </c>
      <c r="M22">
        <v>9</v>
      </c>
      <c r="N22">
        <v>7</v>
      </c>
      <c r="O22">
        <v>47847</v>
      </c>
      <c r="P22">
        <v>21011</v>
      </c>
      <c r="Q22">
        <v>0</v>
      </c>
      <c r="R22">
        <v>1</v>
      </c>
      <c r="AH22" t="s">
        <v>416</v>
      </c>
      <c r="AI22">
        <v>1459</v>
      </c>
      <c r="AJ22">
        <v>286.2529129541</v>
      </c>
      <c r="AK22">
        <v>1226</v>
      </c>
      <c r="AL22">
        <v>180</v>
      </c>
      <c r="AM22">
        <v>2056</v>
      </c>
      <c r="AN22">
        <v>1257</v>
      </c>
      <c r="AO22">
        <v>1110</v>
      </c>
      <c r="AP22">
        <v>831</v>
      </c>
      <c r="AQ22">
        <v>364</v>
      </c>
      <c r="AR22">
        <v>230</v>
      </c>
      <c r="AS22">
        <v>359</v>
      </c>
      <c r="AT22">
        <v>3</v>
      </c>
      <c r="AV22" t="s">
        <v>376</v>
      </c>
      <c r="AW22">
        <v>376</v>
      </c>
      <c r="AX22">
        <v>96.021276595700002</v>
      </c>
      <c r="AY22">
        <v>654</v>
      </c>
      <c r="AZ22">
        <v>126</v>
      </c>
      <c r="BA22">
        <v>507</v>
      </c>
      <c r="BB22">
        <v>163</v>
      </c>
      <c r="BC22">
        <v>18</v>
      </c>
      <c r="BD22">
        <v>16</v>
      </c>
      <c r="BE22">
        <v>49</v>
      </c>
      <c r="BF22">
        <v>16</v>
      </c>
      <c r="BG22">
        <v>80</v>
      </c>
      <c r="BH22">
        <v>172</v>
      </c>
      <c r="BJ22" t="s">
        <v>390</v>
      </c>
      <c r="BK22" t="s">
        <v>390</v>
      </c>
      <c r="BL22">
        <v>53149</v>
      </c>
      <c r="BM22">
        <v>10682</v>
      </c>
      <c r="BN22">
        <v>89.2516886489</v>
      </c>
      <c r="BO22">
        <v>38600</v>
      </c>
      <c r="BP22">
        <v>10055</v>
      </c>
      <c r="BQ22">
        <v>129.77743523320001</v>
      </c>
      <c r="BR22">
        <v>127.94520139230001</v>
      </c>
      <c r="BS22">
        <v>56999</v>
      </c>
      <c r="BT22">
        <v>13779</v>
      </c>
      <c r="BU22">
        <v>97.192582325999993</v>
      </c>
      <c r="BV22">
        <v>44606</v>
      </c>
      <c r="BW22">
        <v>11343</v>
      </c>
      <c r="BX22">
        <v>138.63296417519999</v>
      </c>
      <c r="BY22">
        <v>137.09821034999999</v>
      </c>
      <c r="CA22" t="s">
        <v>401</v>
      </c>
      <c r="CB22" t="s">
        <v>807</v>
      </c>
      <c r="CC22" t="s">
        <v>1008</v>
      </c>
      <c r="CD22">
        <v>5016</v>
      </c>
      <c r="CE22">
        <v>863</v>
      </c>
      <c r="CF22">
        <v>80.471092503999998</v>
      </c>
      <c r="CG22">
        <v>4684</v>
      </c>
      <c r="CH22">
        <v>1196</v>
      </c>
      <c r="CI22">
        <v>114.43040136640001</v>
      </c>
      <c r="CJ22">
        <v>117.1697324415</v>
      </c>
      <c r="CL22" t="s">
        <v>401</v>
      </c>
      <c r="CM22" t="s">
        <v>782</v>
      </c>
      <c r="CN22" t="s">
        <v>787</v>
      </c>
      <c r="CO22">
        <v>286</v>
      </c>
      <c r="CP22">
        <v>21</v>
      </c>
      <c r="CQ22">
        <v>57.041958041999997</v>
      </c>
      <c r="CR22">
        <v>468</v>
      </c>
      <c r="CS22">
        <v>105</v>
      </c>
      <c r="CT22">
        <v>57.2329059829</v>
      </c>
      <c r="CU22">
        <v>73.704761904799994</v>
      </c>
      <c r="CW22" t="s">
        <v>401</v>
      </c>
      <c r="CX22" t="s">
        <v>795</v>
      </c>
      <c r="CY22" t="s">
        <v>800</v>
      </c>
      <c r="CZ22">
        <v>85</v>
      </c>
      <c r="DA22">
        <v>13</v>
      </c>
      <c r="DB22">
        <v>79.752941176500002</v>
      </c>
      <c r="DC22">
        <v>34</v>
      </c>
      <c r="DD22">
        <v>8</v>
      </c>
      <c r="DE22">
        <v>118</v>
      </c>
      <c r="DF22">
        <v>107</v>
      </c>
      <c r="DH22" t="s">
        <v>401</v>
      </c>
      <c r="DI22" t="s">
        <v>769</v>
      </c>
      <c r="DJ22" t="s">
        <v>774</v>
      </c>
      <c r="DK22">
        <v>37</v>
      </c>
      <c r="DL22">
        <v>8</v>
      </c>
      <c r="DM22">
        <v>85.675675675700006</v>
      </c>
      <c r="DN22">
        <v>24</v>
      </c>
      <c r="DO22">
        <v>8</v>
      </c>
      <c r="DP22">
        <v>114.2916666667</v>
      </c>
      <c r="DQ22">
        <v>137.625</v>
      </c>
    </row>
    <row r="23" spans="2:121" x14ac:dyDescent="0.2">
      <c r="B23" t="s">
        <v>112</v>
      </c>
      <c r="C23">
        <v>14211</v>
      </c>
      <c r="D23">
        <v>11876</v>
      </c>
      <c r="F23" t="s">
        <v>46</v>
      </c>
      <c r="G23">
        <v>65</v>
      </c>
      <c r="H23">
        <v>108.8769230769</v>
      </c>
      <c r="I23">
        <v>850</v>
      </c>
      <c r="J23">
        <v>152</v>
      </c>
      <c r="K23">
        <v>197</v>
      </c>
      <c r="L23">
        <v>22</v>
      </c>
      <c r="M23">
        <v>104</v>
      </c>
      <c r="N23">
        <v>40</v>
      </c>
      <c r="O23">
        <v>64</v>
      </c>
      <c r="P23">
        <v>31</v>
      </c>
      <c r="Q23">
        <v>0</v>
      </c>
      <c r="R23">
        <v>1</v>
      </c>
      <c r="AH23" t="s">
        <v>376</v>
      </c>
      <c r="AI23">
        <v>8577</v>
      </c>
      <c r="AJ23">
        <v>630.23586335549999</v>
      </c>
      <c r="AK23">
        <v>5872</v>
      </c>
      <c r="AL23">
        <v>1195</v>
      </c>
      <c r="AM23">
        <v>11712</v>
      </c>
      <c r="AN23">
        <v>8397</v>
      </c>
      <c r="AO23">
        <v>3370</v>
      </c>
      <c r="AP23">
        <v>2372</v>
      </c>
      <c r="AQ23">
        <v>7153</v>
      </c>
      <c r="AR23">
        <v>5803</v>
      </c>
      <c r="AS23">
        <v>425</v>
      </c>
      <c r="AT23">
        <v>4</v>
      </c>
      <c r="AV23" t="s">
        <v>407</v>
      </c>
      <c r="AW23">
        <v>676</v>
      </c>
      <c r="AX23">
        <v>41.502958579900003</v>
      </c>
      <c r="AY23">
        <v>1919</v>
      </c>
      <c r="AZ23">
        <v>76</v>
      </c>
      <c r="BA23">
        <v>999</v>
      </c>
      <c r="BB23">
        <v>34</v>
      </c>
      <c r="BC23">
        <v>9</v>
      </c>
      <c r="BD23">
        <v>7</v>
      </c>
      <c r="BE23">
        <v>66</v>
      </c>
      <c r="BF23">
        <v>33</v>
      </c>
      <c r="BG23">
        <v>1139</v>
      </c>
      <c r="BH23">
        <v>220</v>
      </c>
      <c r="BJ23" t="s">
        <v>571</v>
      </c>
      <c r="BK23" t="s">
        <v>390</v>
      </c>
      <c r="BL23">
        <v>4131</v>
      </c>
      <c r="BM23">
        <v>728</v>
      </c>
      <c r="BN23">
        <v>82.261679980599993</v>
      </c>
      <c r="BO23">
        <v>2976</v>
      </c>
      <c r="BP23">
        <v>802</v>
      </c>
      <c r="BQ23">
        <v>122.6619623656</v>
      </c>
      <c r="BR23">
        <v>123.6371571072</v>
      </c>
      <c r="BS23">
        <v>4606</v>
      </c>
      <c r="BT23">
        <v>1199</v>
      </c>
      <c r="BU23">
        <v>99.750108554099995</v>
      </c>
      <c r="BV23">
        <v>3713</v>
      </c>
      <c r="BW23">
        <v>950</v>
      </c>
      <c r="BX23">
        <v>145.62563964450001</v>
      </c>
      <c r="BY23">
        <v>148.0915789474</v>
      </c>
      <c r="CA23" t="s">
        <v>397</v>
      </c>
      <c r="CB23" t="s">
        <v>807</v>
      </c>
      <c r="CC23" t="s">
        <v>1009</v>
      </c>
      <c r="CD23">
        <v>6054</v>
      </c>
      <c r="CE23">
        <v>936</v>
      </c>
      <c r="CF23">
        <v>78.217046580800002</v>
      </c>
      <c r="CG23">
        <v>4406</v>
      </c>
      <c r="CH23">
        <v>1197</v>
      </c>
      <c r="CI23">
        <v>119.191783931</v>
      </c>
      <c r="CJ23">
        <v>114.45196324139999</v>
      </c>
      <c r="CL23" t="s">
        <v>397</v>
      </c>
      <c r="CM23" t="s">
        <v>782</v>
      </c>
      <c r="CN23" t="s">
        <v>788</v>
      </c>
      <c r="CO23">
        <v>561</v>
      </c>
      <c r="CP23">
        <v>55</v>
      </c>
      <c r="CQ23">
        <v>67.274509803900003</v>
      </c>
      <c r="CR23">
        <v>745</v>
      </c>
      <c r="CS23">
        <v>186</v>
      </c>
      <c r="CT23">
        <v>69.432214765099999</v>
      </c>
      <c r="CU23">
        <v>73.467741935500001</v>
      </c>
      <c r="CW23" t="s">
        <v>397</v>
      </c>
      <c r="CX23" t="s">
        <v>795</v>
      </c>
      <c r="CY23" t="s">
        <v>801</v>
      </c>
      <c r="CZ23">
        <v>182</v>
      </c>
      <c r="DA23">
        <v>25</v>
      </c>
      <c r="DB23">
        <v>78.313186813200005</v>
      </c>
      <c r="DC23">
        <v>89</v>
      </c>
      <c r="DD23">
        <v>23</v>
      </c>
      <c r="DE23">
        <v>125.64044943819999</v>
      </c>
      <c r="DF23">
        <v>121.6086956522</v>
      </c>
      <c r="DH23" t="s">
        <v>397</v>
      </c>
      <c r="DI23" t="s">
        <v>769</v>
      </c>
      <c r="DJ23" t="s">
        <v>775</v>
      </c>
      <c r="DK23">
        <v>167</v>
      </c>
      <c r="DL23">
        <v>25</v>
      </c>
      <c r="DM23">
        <v>81.161676646700002</v>
      </c>
      <c r="DN23">
        <v>78</v>
      </c>
      <c r="DO23">
        <v>26</v>
      </c>
      <c r="DP23">
        <v>129.8205128205</v>
      </c>
      <c r="DQ23">
        <v>121.5769230769</v>
      </c>
    </row>
    <row r="24" spans="2:121" x14ac:dyDescent="0.2">
      <c r="B24" t="s">
        <v>113</v>
      </c>
      <c r="C24">
        <v>1739</v>
      </c>
      <c r="D24">
        <v>578</v>
      </c>
      <c r="F24" t="s">
        <v>82</v>
      </c>
      <c r="G24">
        <v>12359</v>
      </c>
      <c r="H24">
        <v>328.39202200829999</v>
      </c>
      <c r="I24">
        <v>17801</v>
      </c>
      <c r="J24">
        <v>3231</v>
      </c>
      <c r="K24">
        <v>14748</v>
      </c>
      <c r="L24">
        <v>9218</v>
      </c>
      <c r="M24">
        <v>5192</v>
      </c>
      <c r="N24">
        <v>2465</v>
      </c>
      <c r="O24">
        <v>3137</v>
      </c>
      <c r="P24">
        <v>1615</v>
      </c>
      <c r="Q24">
        <v>2</v>
      </c>
      <c r="R24">
        <v>197</v>
      </c>
      <c r="T24" t="s">
        <v>647</v>
      </c>
      <c r="U24" t="s">
        <v>305</v>
      </c>
      <c r="V24" t="s">
        <v>136</v>
      </c>
      <c r="W24" t="s">
        <v>217</v>
      </c>
      <c r="X24" t="s">
        <v>218</v>
      </c>
      <c r="Y24" t="s">
        <v>219</v>
      </c>
      <c r="Z24" t="s">
        <v>220</v>
      </c>
      <c r="AA24" t="s">
        <v>221</v>
      </c>
      <c r="AB24" t="s">
        <v>222</v>
      </c>
      <c r="AC24" t="s">
        <v>223</v>
      </c>
      <c r="AD24" t="s">
        <v>224</v>
      </c>
      <c r="AE24" t="s">
        <v>225</v>
      </c>
      <c r="AF24" t="s">
        <v>226</v>
      </c>
      <c r="AH24" t="s">
        <v>371</v>
      </c>
      <c r="AI24">
        <v>4809</v>
      </c>
      <c r="AJ24">
        <v>532.79517571220003</v>
      </c>
      <c r="AK24">
        <v>4383</v>
      </c>
      <c r="AL24">
        <v>1120</v>
      </c>
      <c r="AM24">
        <v>7026</v>
      </c>
      <c r="AN24">
        <v>5048</v>
      </c>
      <c r="AO24">
        <v>3064</v>
      </c>
      <c r="AP24">
        <v>2453</v>
      </c>
      <c r="AQ24">
        <v>1549</v>
      </c>
      <c r="AR24">
        <v>1170</v>
      </c>
      <c r="AS24">
        <v>769</v>
      </c>
      <c r="AT24">
        <v>8</v>
      </c>
      <c r="AV24" t="s">
        <v>397</v>
      </c>
      <c r="AW24">
        <v>285</v>
      </c>
      <c r="AX24">
        <v>58.256140350899997</v>
      </c>
      <c r="AY24">
        <v>680</v>
      </c>
      <c r="AZ24">
        <v>48</v>
      </c>
      <c r="BA24">
        <v>497</v>
      </c>
      <c r="BB24">
        <v>37</v>
      </c>
      <c r="BC24">
        <v>2</v>
      </c>
      <c r="BD24">
        <v>1</v>
      </c>
      <c r="BE24">
        <v>36</v>
      </c>
      <c r="BF24">
        <v>10</v>
      </c>
      <c r="BG24">
        <v>92</v>
      </c>
      <c r="BH24">
        <v>44</v>
      </c>
      <c r="BJ24" t="s">
        <v>635</v>
      </c>
      <c r="BK24" t="s">
        <v>390</v>
      </c>
      <c r="BL24">
        <v>800</v>
      </c>
      <c r="BM24">
        <v>150</v>
      </c>
      <c r="BN24">
        <v>77.443749999999994</v>
      </c>
      <c r="BO24">
        <v>758</v>
      </c>
      <c r="BP24">
        <v>195</v>
      </c>
      <c r="BQ24">
        <v>107.9881266491</v>
      </c>
      <c r="BR24">
        <v>106.6102564103</v>
      </c>
      <c r="BS24">
        <v>1474</v>
      </c>
      <c r="BT24">
        <v>400</v>
      </c>
      <c r="BU24">
        <v>103.0508819539</v>
      </c>
      <c r="BV24">
        <v>1330</v>
      </c>
      <c r="BW24">
        <v>321</v>
      </c>
      <c r="BX24">
        <v>137.9947368421</v>
      </c>
      <c r="BY24">
        <v>133.49532710279999</v>
      </c>
      <c r="CA24" t="s">
        <v>400</v>
      </c>
      <c r="CB24" t="s">
        <v>807</v>
      </c>
      <c r="CC24" t="s">
        <v>1010</v>
      </c>
      <c r="CD24">
        <v>2063</v>
      </c>
      <c r="CE24">
        <v>228</v>
      </c>
      <c r="CF24">
        <v>71.898691226400004</v>
      </c>
      <c r="CG24">
        <v>1514</v>
      </c>
      <c r="CH24">
        <v>367</v>
      </c>
      <c r="CI24">
        <v>113.9808454425</v>
      </c>
      <c r="CJ24">
        <v>118.01907356949999</v>
      </c>
      <c r="CL24" t="s">
        <v>400</v>
      </c>
      <c r="CM24" t="s">
        <v>782</v>
      </c>
      <c r="CN24" t="s">
        <v>789</v>
      </c>
      <c r="CO24">
        <v>86</v>
      </c>
      <c r="CP24">
        <v>11</v>
      </c>
      <c r="CQ24">
        <v>71.558139534899993</v>
      </c>
      <c r="CR24">
        <v>134</v>
      </c>
      <c r="CS24">
        <v>30</v>
      </c>
      <c r="CT24">
        <v>65.925373134300003</v>
      </c>
      <c r="CU24">
        <v>72.3</v>
      </c>
      <c r="CW24" t="s">
        <v>400</v>
      </c>
      <c r="CX24" t="s">
        <v>795</v>
      </c>
      <c r="CY24" t="s">
        <v>802</v>
      </c>
      <c r="CZ24">
        <v>58</v>
      </c>
      <c r="DA24">
        <v>1</v>
      </c>
      <c r="DB24">
        <v>55.965517241400001</v>
      </c>
      <c r="DC24">
        <v>20</v>
      </c>
      <c r="DD24">
        <v>4</v>
      </c>
      <c r="DE24">
        <v>111.5</v>
      </c>
      <c r="DF24">
        <v>120.25</v>
      </c>
      <c r="DH24" t="s">
        <v>400</v>
      </c>
      <c r="DI24" t="s">
        <v>769</v>
      </c>
      <c r="DJ24" t="s">
        <v>776</v>
      </c>
      <c r="DK24">
        <v>89</v>
      </c>
      <c r="DL24">
        <v>5</v>
      </c>
      <c r="DM24">
        <v>68.269662921299997</v>
      </c>
      <c r="DN24">
        <v>35</v>
      </c>
      <c r="DO24">
        <v>12</v>
      </c>
      <c r="DP24">
        <v>109.4857142857</v>
      </c>
      <c r="DQ24">
        <v>104</v>
      </c>
    </row>
    <row r="25" spans="2:121" x14ac:dyDescent="0.2">
      <c r="B25" t="s">
        <v>107</v>
      </c>
      <c r="C25">
        <v>44269</v>
      </c>
      <c r="D25">
        <v>10533</v>
      </c>
      <c r="F25" t="s">
        <v>42</v>
      </c>
      <c r="G25">
        <v>10516</v>
      </c>
      <c r="H25">
        <v>292.26987447699997</v>
      </c>
      <c r="I25">
        <v>8861</v>
      </c>
      <c r="J25">
        <v>2404</v>
      </c>
      <c r="K25">
        <v>19278</v>
      </c>
      <c r="L25">
        <v>12278</v>
      </c>
      <c r="M25">
        <v>3223</v>
      </c>
      <c r="N25">
        <v>2191</v>
      </c>
      <c r="O25">
        <v>1313</v>
      </c>
      <c r="P25">
        <v>772</v>
      </c>
      <c r="Q25">
        <v>1</v>
      </c>
      <c r="R25">
        <v>52</v>
      </c>
      <c r="T25" t="s">
        <v>385</v>
      </c>
      <c r="U25">
        <v>60533</v>
      </c>
      <c r="V25">
        <v>363.78335783789998</v>
      </c>
      <c r="W25">
        <v>67020</v>
      </c>
      <c r="X25">
        <v>14011</v>
      </c>
      <c r="Y25">
        <v>85659</v>
      </c>
      <c r="Z25">
        <v>54442</v>
      </c>
      <c r="AA25">
        <v>22649</v>
      </c>
      <c r="AB25">
        <v>13294</v>
      </c>
      <c r="AC25">
        <v>22836</v>
      </c>
      <c r="AD25">
        <v>12793</v>
      </c>
      <c r="AE25">
        <v>863</v>
      </c>
      <c r="AF25">
        <v>1066</v>
      </c>
      <c r="AH25" t="s">
        <v>395</v>
      </c>
      <c r="AI25">
        <v>4410</v>
      </c>
      <c r="AJ25">
        <v>276.16870748299999</v>
      </c>
      <c r="AK25">
        <v>7478</v>
      </c>
      <c r="AL25">
        <v>1773</v>
      </c>
      <c r="AM25">
        <v>7828</v>
      </c>
      <c r="AN25">
        <v>4495</v>
      </c>
      <c r="AO25">
        <v>1746</v>
      </c>
      <c r="AP25">
        <v>1064</v>
      </c>
      <c r="AQ25">
        <v>1837</v>
      </c>
      <c r="AR25">
        <v>982</v>
      </c>
      <c r="AS25">
        <v>679</v>
      </c>
      <c r="AT25">
        <v>198</v>
      </c>
      <c r="AV25" t="s">
        <v>403</v>
      </c>
      <c r="AW25">
        <v>103</v>
      </c>
      <c r="AX25">
        <v>43.067961165</v>
      </c>
      <c r="AY25">
        <v>237</v>
      </c>
      <c r="AZ25">
        <v>9</v>
      </c>
      <c r="BA25">
        <v>151</v>
      </c>
      <c r="BB25">
        <v>10</v>
      </c>
      <c r="BC25">
        <v>1</v>
      </c>
      <c r="BD25">
        <v>1</v>
      </c>
      <c r="BE25">
        <v>18</v>
      </c>
      <c r="BF25">
        <v>10</v>
      </c>
      <c r="BG25">
        <v>269</v>
      </c>
      <c r="BH25">
        <v>28</v>
      </c>
      <c r="BJ25" t="s">
        <v>574</v>
      </c>
      <c r="BK25" t="s">
        <v>390</v>
      </c>
      <c r="BL25">
        <v>5902</v>
      </c>
      <c r="BM25">
        <v>889</v>
      </c>
      <c r="BN25">
        <v>77.439003727499994</v>
      </c>
      <c r="BO25">
        <v>4078</v>
      </c>
      <c r="BP25">
        <v>1113</v>
      </c>
      <c r="BQ25">
        <v>120.16699362430001</v>
      </c>
      <c r="BR25">
        <v>117.4375561545</v>
      </c>
      <c r="BS25">
        <v>6155</v>
      </c>
      <c r="BT25">
        <v>1130</v>
      </c>
      <c r="BU25">
        <v>81.876523151900003</v>
      </c>
      <c r="BV25">
        <v>4904</v>
      </c>
      <c r="BW25">
        <v>1204</v>
      </c>
      <c r="BX25">
        <v>123.2811990212</v>
      </c>
      <c r="BY25">
        <v>122.82973421929999</v>
      </c>
      <c r="CA25" t="s">
        <v>419</v>
      </c>
      <c r="CB25" t="s">
        <v>807</v>
      </c>
      <c r="CC25" t="s">
        <v>1011</v>
      </c>
      <c r="CD25">
        <v>641</v>
      </c>
      <c r="CE25">
        <v>101</v>
      </c>
      <c r="CF25">
        <v>73.7332293292</v>
      </c>
      <c r="CG25">
        <v>599</v>
      </c>
      <c r="CH25">
        <v>125</v>
      </c>
      <c r="CI25">
        <v>97.240400667800003</v>
      </c>
      <c r="CJ25">
        <v>90.224000000000004</v>
      </c>
      <c r="CL25" t="s">
        <v>419</v>
      </c>
      <c r="CM25" t="s">
        <v>782</v>
      </c>
      <c r="CN25" t="s">
        <v>790</v>
      </c>
      <c r="CO25">
        <v>48</v>
      </c>
      <c r="CP25">
        <v>1</v>
      </c>
      <c r="CQ25">
        <v>47.854166666700003</v>
      </c>
      <c r="CR25">
        <v>55</v>
      </c>
      <c r="CS25">
        <v>12</v>
      </c>
      <c r="CT25">
        <v>58.345454545499997</v>
      </c>
      <c r="CU25">
        <v>38.25</v>
      </c>
      <c r="CW25" t="s">
        <v>419</v>
      </c>
      <c r="CX25" t="s">
        <v>795</v>
      </c>
      <c r="CY25" t="s">
        <v>803</v>
      </c>
      <c r="CZ25">
        <v>15</v>
      </c>
      <c r="DA25">
        <v>2</v>
      </c>
      <c r="DB25">
        <v>75.933333333299998</v>
      </c>
      <c r="DC25">
        <v>13</v>
      </c>
      <c r="DD25">
        <v>4</v>
      </c>
      <c r="DE25">
        <v>90</v>
      </c>
      <c r="DF25">
        <v>108.75</v>
      </c>
      <c r="DH25" t="s">
        <v>419</v>
      </c>
      <c r="DI25" t="s">
        <v>769</v>
      </c>
      <c r="DJ25" t="s">
        <v>777</v>
      </c>
      <c r="DK25">
        <v>3</v>
      </c>
      <c r="DL25">
        <v>0</v>
      </c>
      <c r="DM25">
        <v>68</v>
      </c>
      <c r="DN25">
        <v>4</v>
      </c>
      <c r="DO25">
        <v>0</v>
      </c>
      <c r="DP25">
        <v>122</v>
      </c>
      <c r="DQ25">
        <v>0</v>
      </c>
    </row>
    <row r="26" spans="2:121" x14ac:dyDescent="0.2">
      <c r="B26" t="s">
        <v>106</v>
      </c>
      <c r="C26">
        <v>57</v>
      </c>
      <c r="D26">
        <v>41</v>
      </c>
      <c r="F26" t="s">
        <v>38</v>
      </c>
      <c r="G26">
        <v>4268</v>
      </c>
      <c r="H26">
        <v>593.95454545450002</v>
      </c>
      <c r="I26">
        <v>3385</v>
      </c>
      <c r="J26">
        <v>896</v>
      </c>
      <c r="K26">
        <v>5611</v>
      </c>
      <c r="L26">
        <v>4417</v>
      </c>
      <c r="M26">
        <v>2592</v>
      </c>
      <c r="N26">
        <v>2113</v>
      </c>
      <c r="O26">
        <v>857</v>
      </c>
      <c r="P26">
        <v>755</v>
      </c>
      <c r="Q26">
        <v>0</v>
      </c>
      <c r="R26">
        <v>2</v>
      </c>
      <c r="T26" t="s">
        <v>390</v>
      </c>
      <c r="U26">
        <v>43142</v>
      </c>
      <c r="V26">
        <v>386.30710212790001</v>
      </c>
      <c r="W26">
        <v>53286</v>
      </c>
      <c r="X26">
        <v>10708</v>
      </c>
      <c r="Y26">
        <v>68218</v>
      </c>
      <c r="Z26">
        <v>40160</v>
      </c>
      <c r="AA26">
        <v>15067</v>
      </c>
      <c r="AB26">
        <v>9596</v>
      </c>
      <c r="AC26">
        <v>23144</v>
      </c>
      <c r="AD26">
        <v>13939</v>
      </c>
      <c r="AE26">
        <v>3527</v>
      </c>
      <c r="AF26">
        <v>1048</v>
      </c>
      <c r="AH26" t="s">
        <v>401</v>
      </c>
      <c r="AI26">
        <v>1417</v>
      </c>
      <c r="AJ26">
        <v>196.55610444600001</v>
      </c>
      <c r="AK26">
        <v>4916</v>
      </c>
      <c r="AL26">
        <v>891</v>
      </c>
      <c r="AM26">
        <v>3202</v>
      </c>
      <c r="AN26">
        <v>1462</v>
      </c>
      <c r="AO26">
        <v>667</v>
      </c>
      <c r="AP26">
        <v>287</v>
      </c>
      <c r="AQ26">
        <v>1188</v>
      </c>
      <c r="AR26">
        <v>664</v>
      </c>
      <c r="AS26">
        <v>6</v>
      </c>
      <c r="AT26">
        <v>5</v>
      </c>
      <c r="AV26" t="s">
        <v>83</v>
      </c>
      <c r="AW26">
        <v>149</v>
      </c>
      <c r="AX26">
        <v>41.275167785199997</v>
      </c>
      <c r="AY26">
        <v>455</v>
      </c>
      <c r="AZ26">
        <v>14</v>
      </c>
      <c r="BA26">
        <v>281</v>
      </c>
      <c r="BB26">
        <v>26</v>
      </c>
      <c r="BC26">
        <v>1</v>
      </c>
      <c r="BE26">
        <v>19</v>
      </c>
      <c r="BF26">
        <v>5</v>
      </c>
      <c r="BG26">
        <v>370</v>
      </c>
      <c r="BH26">
        <v>51</v>
      </c>
      <c r="BJ26" t="s">
        <v>580</v>
      </c>
      <c r="BK26" t="s">
        <v>390</v>
      </c>
      <c r="BL26">
        <v>6808</v>
      </c>
      <c r="BM26">
        <v>1293</v>
      </c>
      <c r="BN26">
        <v>85.516451233799998</v>
      </c>
      <c r="BO26">
        <v>5887</v>
      </c>
      <c r="BP26">
        <v>1528</v>
      </c>
      <c r="BQ26">
        <v>121.62170885</v>
      </c>
      <c r="BR26">
        <v>123.4568062827</v>
      </c>
      <c r="BS26">
        <v>7661</v>
      </c>
      <c r="BT26">
        <v>1817</v>
      </c>
      <c r="BU26">
        <v>99.037331941000005</v>
      </c>
      <c r="BV26">
        <v>6898</v>
      </c>
      <c r="BW26">
        <v>1759</v>
      </c>
      <c r="BX26">
        <v>139.5181211945</v>
      </c>
      <c r="BY26">
        <v>140.37862421829999</v>
      </c>
      <c r="CA26" t="s">
        <v>391</v>
      </c>
      <c r="CB26" t="s">
        <v>807</v>
      </c>
      <c r="CC26" t="s">
        <v>1012</v>
      </c>
      <c r="CD26">
        <v>8628</v>
      </c>
      <c r="CE26">
        <v>2068</v>
      </c>
      <c r="CF26">
        <v>98.972183588299998</v>
      </c>
      <c r="CG26">
        <v>6510</v>
      </c>
      <c r="CH26">
        <v>1693</v>
      </c>
      <c r="CI26">
        <v>124.90307219659999</v>
      </c>
      <c r="CJ26">
        <v>125.00059066750001</v>
      </c>
      <c r="CL26" t="s">
        <v>391</v>
      </c>
      <c r="CM26" t="s">
        <v>782</v>
      </c>
      <c r="CN26" t="s">
        <v>791</v>
      </c>
      <c r="CO26">
        <v>978</v>
      </c>
      <c r="CP26">
        <v>94</v>
      </c>
      <c r="CQ26">
        <v>65.779141104299995</v>
      </c>
      <c r="CR26">
        <v>1246</v>
      </c>
      <c r="CS26">
        <v>323</v>
      </c>
      <c r="CT26">
        <v>65.3980738363</v>
      </c>
      <c r="CU26">
        <v>71.538699690399994</v>
      </c>
      <c r="CW26" t="s">
        <v>391</v>
      </c>
      <c r="CX26" t="s">
        <v>795</v>
      </c>
      <c r="CY26" t="s">
        <v>804</v>
      </c>
      <c r="CZ26">
        <v>272</v>
      </c>
      <c r="DA26">
        <v>50</v>
      </c>
      <c r="DB26">
        <v>80.389705882399994</v>
      </c>
      <c r="DC26">
        <v>102</v>
      </c>
      <c r="DD26">
        <v>26</v>
      </c>
      <c r="DE26">
        <v>133.2254901961</v>
      </c>
      <c r="DF26">
        <v>143.26923076919999</v>
      </c>
      <c r="DH26" t="s">
        <v>391</v>
      </c>
      <c r="DI26" t="s">
        <v>769</v>
      </c>
      <c r="DJ26" t="s">
        <v>778</v>
      </c>
      <c r="DK26">
        <v>151</v>
      </c>
      <c r="DL26">
        <v>32</v>
      </c>
      <c r="DM26">
        <v>89.324503311300006</v>
      </c>
      <c r="DN26">
        <v>85</v>
      </c>
      <c r="DO26">
        <v>25</v>
      </c>
      <c r="DP26">
        <v>130</v>
      </c>
      <c r="DQ26">
        <v>126.72</v>
      </c>
    </row>
    <row r="27" spans="2:121" x14ac:dyDescent="0.2">
      <c r="B27" t="s">
        <v>99</v>
      </c>
      <c r="C27">
        <v>131801</v>
      </c>
      <c r="D27">
        <v>65774</v>
      </c>
      <c r="F27" t="s">
        <v>58</v>
      </c>
      <c r="G27">
        <v>864</v>
      </c>
      <c r="H27">
        <v>175.599537037</v>
      </c>
      <c r="I27">
        <v>852</v>
      </c>
      <c r="J27">
        <v>189</v>
      </c>
      <c r="K27">
        <v>980</v>
      </c>
      <c r="L27">
        <v>501</v>
      </c>
      <c r="M27">
        <v>263</v>
      </c>
      <c r="N27">
        <v>95</v>
      </c>
      <c r="O27">
        <v>855</v>
      </c>
      <c r="P27">
        <v>474</v>
      </c>
      <c r="Q27">
        <v>346</v>
      </c>
      <c r="R27">
        <v>135</v>
      </c>
      <c r="T27" t="s">
        <v>369</v>
      </c>
      <c r="U27">
        <v>73621</v>
      </c>
      <c r="V27">
        <v>439.13638771550001</v>
      </c>
      <c r="W27">
        <v>72968</v>
      </c>
      <c r="X27">
        <v>16381</v>
      </c>
      <c r="Y27">
        <v>104477</v>
      </c>
      <c r="Z27">
        <v>70160</v>
      </c>
      <c r="AA27">
        <v>35716</v>
      </c>
      <c r="AB27">
        <v>24558</v>
      </c>
      <c r="AC27">
        <v>36771</v>
      </c>
      <c r="AD27">
        <v>26188</v>
      </c>
      <c r="AE27">
        <v>8486</v>
      </c>
      <c r="AF27">
        <v>117</v>
      </c>
      <c r="AH27" t="s">
        <v>389</v>
      </c>
      <c r="AI27">
        <v>5072</v>
      </c>
      <c r="AJ27">
        <v>398.46628548899997</v>
      </c>
      <c r="AK27">
        <v>4474</v>
      </c>
      <c r="AL27">
        <v>1189</v>
      </c>
      <c r="AM27">
        <v>7484</v>
      </c>
      <c r="AN27">
        <v>5137</v>
      </c>
      <c r="AO27">
        <v>1520</v>
      </c>
      <c r="AP27">
        <v>1076</v>
      </c>
      <c r="AQ27">
        <v>2668</v>
      </c>
      <c r="AR27">
        <v>1951</v>
      </c>
      <c r="AS27">
        <v>282</v>
      </c>
      <c r="AT27">
        <v>152</v>
      </c>
      <c r="AV27" t="s">
        <v>374</v>
      </c>
      <c r="AW27">
        <v>477</v>
      </c>
      <c r="AX27">
        <v>101.429769392</v>
      </c>
      <c r="AY27">
        <v>790</v>
      </c>
      <c r="AZ27">
        <v>164</v>
      </c>
      <c r="BA27">
        <v>626</v>
      </c>
      <c r="BB27">
        <v>224</v>
      </c>
      <c r="BC27">
        <v>12</v>
      </c>
      <c r="BD27">
        <v>12</v>
      </c>
      <c r="BE27">
        <v>39</v>
      </c>
      <c r="BF27">
        <v>5</v>
      </c>
      <c r="BG27">
        <v>80</v>
      </c>
      <c r="BH27">
        <v>203</v>
      </c>
      <c r="BJ27" t="s">
        <v>639</v>
      </c>
      <c r="BK27" t="s">
        <v>390</v>
      </c>
      <c r="BL27">
        <v>2752</v>
      </c>
      <c r="BM27">
        <v>484</v>
      </c>
      <c r="BN27">
        <v>84.452034883699994</v>
      </c>
      <c r="BO27">
        <v>1956</v>
      </c>
      <c r="BP27">
        <v>477</v>
      </c>
      <c r="BQ27">
        <v>142.55470347650001</v>
      </c>
      <c r="BR27">
        <v>141.6582809224</v>
      </c>
      <c r="BS27">
        <v>1878</v>
      </c>
      <c r="BT27">
        <v>354</v>
      </c>
      <c r="BU27">
        <v>88.514376996799996</v>
      </c>
      <c r="BV27">
        <v>1407</v>
      </c>
      <c r="BW27">
        <v>345</v>
      </c>
      <c r="BX27">
        <v>157.84719260840001</v>
      </c>
      <c r="BY27">
        <v>154.0695652174</v>
      </c>
      <c r="CA27" t="s">
        <v>420</v>
      </c>
      <c r="CB27" t="s">
        <v>807</v>
      </c>
      <c r="CC27" t="s">
        <v>1013</v>
      </c>
      <c r="CD27">
        <v>822</v>
      </c>
      <c r="CE27">
        <v>147</v>
      </c>
      <c r="CF27">
        <v>77.877128953799996</v>
      </c>
      <c r="CG27">
        <v>815</v>
      </c>
      <c r="CH27">
        <v>208</v>
      </c>
      <c r="CI27">
        <v>112.3607361963</v>
      </c>
      <c r="CJ27">
        <v>123.3269230769</v>
      </c>
      <c r="CL27" t="s">
        <v>420</v>
      </c>
      <c r="CM27" t="s">
        <v>782</v>
      </c>
      <c r="CN27" t="s">
        <v>792</v>
      </c>
      <c r="CO27">
        <v>45</v>
      </c>
      <c r="CP27">
        <v>3</v>
      </c>
      <c r="CQ27">
        <v>59.844444444399997</v>
      </c>
      <c r="CR27">
        <v>99</v>
      </c>
      <c r="CS27">
        <v>26</v>
      </c>
      <c r="CT27">
        <v>63.4545454545</v>
      </c>
      <c r="CU27">
        <v>65.153846153800004</v>
      </c>
      <c r="CW27" t="s">
        <v>420</v>
      </c>
      <c r="CX27" t="s">
        <v>795</v>
      </c>
      <c r="CY27" t="s">
        <v>805</v>
      </c>
      <c r="CZ27">
        <v>19</v>
      </c>
      <c r="DA27">
        <v>3</v>
      </c>
      <c r="DB27">
        <v>89.421052631600006</v>
      </c>
      <c r="DC27">
        <v>2</v>
      </c>
      <c r="DD27">
        <v>1</v>
      </c>
      <c r="DE27">
        <v>186</v>
      </c>
      <c r="DF27">
        <v>125</v>
      </c>
      <c r="DH27" t="s">
        <v>420</v>
      </c>
      <c r="DI27" t="s">
        <v>769</v>
      </c>
      <c r="DJ27" t="s">
        <v>779</v>
      </c>
      <c r="DK27">
        <v>9</v>
      </c>
      <c r="DL27">
        <v>4</v>
      </c>
      <c r="DM27">
        <v>114.44444444440001</v>
      </c>
      <c r="DN27">
        <v>10</v>
      </c>
      <c r="DO27">
        <v>3</v>
      </c>
      <c r="DP27">
        <v>152.5</v>
      </c>
      <c r="DQ27">
        <v>207</v>
      </c>
    </row>
    <row r="28" spans="2:121" x14ac:dyDescent="0.2">
      <c r="B28" t="s">
        <v>109</v>
      </c>
      <c r="C28">
        <v>54900</v>
      </c>
      <c r="D28">
        <v>23257</v>
      </c>
      <c r="F28" t="s">
        <v>72</v>
      </c>
      <c r="G28">
        <v>14396</v>
      </c>
      <c r="H28">
        <v>473.4158794109</v>
      </c>
      <c r="I28">
        <v>12446</v>
      </c>
      <c r="J28">
        <v>2333</v>
      </c>
      <c r="K28">
        <v>16246</v>
      </c>
      <c r="L28">
        <v>11860</v>
      </c>
      <c r="M28">
        <v>7690</v>
      </c>
      <c r="N28">
        <v>5780</v>
      </c>
      <c r="O28">
        <v>4401</v>
      </c>
      <c r="P28">
        <v>3727</v>
      </c>
      <c r="Q28">
        <v>7</v>
      </c>
      <c r="R28">
        <v>11</v>
      </c>
      <c r="T28" t="s">
        <v>8</v>
      </c>
      <c r="U28">
        <v>4335</v>
      </c>
      <c r="V28">
        <v>382.12987312569999</v>
      </c>
      <c r="W28">
        <v>4227</v>
      </c>
      <c r="X28">
        <v>1688</v>
      </c>
      <c r="Y28">
        <v>5965</v>
      </c>
      <c r="Z28">
        <v>3922</v>
      </c>
      <c r="AA28">
        <v>1468</v>
      </c>
      <c r="AB28">
        <v>794</v>
      </c>
      <c r="AC28">
        <v>1831</v>
      </c>
      <c r="AD28">
        <v>1147</v>
      </c>
      <c r="AE28">
        <v>414</v>
      </c>
      <c r="AF28">
        <v>131</v>
      </c>
      <c r="AH28" t="s">
        <v>397</v>
      </c>
      <c r="AI28">
        <v>5743</v>
      </c>
      <c r="AJ28">
        <v>281.79174647399998</v>
      </c>
      <c r="AK28">
        <v>6388</v>
      </c>
      <c r="AL28">
        <v>1003</v>
      </c>
      <c r="AM28">
        <v>8279</v>
      </c>
      <c r="AN28">
        <v>5105</v>
      </c>
      <c r="AO28">
        <v>2641</v>
      </c>
      <c r="AP28">
        <v>1972</v>
      </c>
      <c r="AQ28">
        <v>8190</v>
      </c>
      <c r="AR28">
        <v>5629</v>
      </c>
      <c r="AS28">
        <v>603</v>
      </c>
      <c r="AT28">
        <v>75</v>
      </c>
      <c r="AV28" t="s">
        <v>381</v>
      </c>
      <c r="AW28">
        <v>1298</v>
      </c>
      <c r="AX28">
        <v>109.4714946071</v>
      </c>
      <c r="AY28">
        <v>1678</v>
      </c>
      <c r="AZ28">
        <v>336</v>
      </c>
      <c r="BA28">
        <v>1774</v>
      </c>
      <c r="BB28">
        <v>635</v>
      </c>
      <c r="BC28">
        <v>54</v>
      </c>
      <c r="BD28">
        <v>52</v>
      </c>
      <c r="BE28">
        <v>141</v>
      </c>
      <c r="BF28">
        <v>45</v>
      </c>
      <c r="BG28">
        <v>193</v>
      </c>
      <c r="BH28">
        <v>508</v>
      </c>
      <c r="BJ28" t="s">
        <v>533</v>
      </c>
      <c r="BK28" t="s">
        <v>369</v>
      </c>
      <c r="BL28">
        <v>4624</v>
      </c>
      <c r="BM28">
        <v>907</v>
      </c>
      <c r="BN28">
        <v>92.531358131499999</v>
      </c>
      <c r="BO28">
        <v>3500</v>
      </c>
      <c r="BP28">
        <v>842</v>
      </c>
      <c r="BQ28">
        <v>143.2965714286</v>
      </c>
      <c r="BR28">
        <v>142.35866983369999</v>
      </c>
      <c r="BS28">
        <v>2586</v>
      </c>
      <c r="BT28">
        <v>485</v>
      </c>
      <c r="BU28">
        <v>84.533642691400004</v>
      </c>
      <c r="BV28">
        <v>2200</v>
      </c>
      <c r="BW28">
        <v>544</v>
      </c>
      <c r="BX28">
        <v>129.28727272730001</v>
      </c>
      <c r="BY28">
        <v>119.9393382353</v>
      </c>
      <c r="CA28" t="s">
        <v>396</v>
      </c>
      <c r="CB28" t="s">
        <v>807</v>
      </c>
      <c r="CC28" t="s">
        <v>1014</v>
      </c>
      <c r="CD28">
        <v>3924</v>
      </c>
      <c r="CE28">
        <v>684</v>
      </c>
      <c r="CF28">
        <v>82.0942915392</v>
      </c>
      <c r="CG28">
        <v>2908</v>
      </c>
      <c r="CH28">
        <v>780</v>
      </c>
      <c r="CI28">
        <v>119.7613480055</v>
      </c>
      <c r="CJ28">
        <v>121.5961538462</v>
      </c>
      <c r="CL28" t="s">
        <v>396</v>
      </c>
      <c r="CM28" t="s">
        <v>782</v>
      </c>
      <c r="CN28" t="s">
        <v>793</v>
      </c>
      <c r="CO28">
        <v>318</v>
      </c>
      <c r="CP28">
        <v>25</v>
      </c>
      <c r="CQ28">
        <v>59.5911949686</v>
      </c>
      <c r="CR28">
        <v>469</v>
      </c>
      <c r="CS28">
        <v>134</v>
      </c>
      <c r="CT28">
        <v>55.1300639659</v>
      </c>
      <c r="CU28">
        <v>60.223880596999997</v>
      </c>
      <c r="CW28" t="s">
        <v>396</v>
      </c>
      <c r="CX28" t="s">
        <v>795</v>
      </c>
      <c r="CY28" t="s">
        <v>806</v>
      </c>
      <c r="CZ28">
        <v>98</v>
      </c>
      <c r="DA28">
        <v>20</v>
      </c>
      <c r="DB28">
        <v>87.122448979599994</v>
      </c>
      <c r="DC28">
        <v>42</v>
      </c>
      <c r="DD28">
        <v>5</v>
      </c>
      <c r="DE28">
        <v>125.3333333333</v>
      </c>
      <c r="DF28">
        <v>141.6</v>
      </c>
      <c r="DH28" t="s">
        <v>396</v>
      </c>
      <c r="DI28" t="s">
        <v>769</v>
      </c>
      <c r="DJ28" t="s">
        <v>780</v>
      </c>
      <c r="DK28">
        <v>51</v>
      </c>
      <c r="DL28">
        <v>12</v>
      </c>
      <c r="DM28">
        <v>76.372549019600001</v>
      </c>
      <c r="DN28">
        <v>38</v>
      </c>
      <c r="DO28">
        <v>12</v>
      </c>
      <c r="DP28">
        <v>122.18421052630001</v>
      </c>
      <c r="DQ28">
        <v>130.5833333333</v>
      </c>
    </row>
    <row r="29" spans="2:121" x14ac:dyDescent="0.2">
      <c r="B29" t="s">
        <v>91</v>
      </c>
      <c r="C29">
        <v>81037</v>
      </c>
      <c r="D29">
        <v>19526</v>
      </c>
      <c r="F29" t="s">
        <v>44</v>
      </c>
      <c r="G29">
        <v>1119</v>
      </c>
      <c r="H29">
        <v>129.82573726539999</v>
      </c>
      <c r="I29">
        <v>2176</v>
      </c>
      <c r="J29">
        <v>344</v>
      </c>
      <c r="K29">
        <v>1793</v>
      </c>
      <c r="L29">
        <v>763</v>
      </c>
      <c r="M29">
        <v>357</v>
      </c>
      <c r="N29">
        <v>116</v>
      </c>
      <c r="O29">
        <v>261</v>
      </c>
      <c r="P29">
        <v>139</v>
      </c>
      <c r="Q29">
        <v>0</v>
      </c>
      <c r="R29">
        <v>6</v>
      </c>
      <c r="T29" t="s">
        <v>404</v>
      </c>
      <c r="U29">
        <v>65759</v>
      </c>
      <c r="V29">
        <v>375.1877765781</v>
      </c>
      <c r="W29">
        <v>59564</v>
      </c>
      <c r="X29">
        <v>11768</v>
      </c>
      <c r="Y29">
        <v>95845</v>
      </c>
      <c r="Z29">
        <v>63825</v>
      </c>
      <c r="AA29">
        <v>25628</v>
      </c>
      <c r="AB29">
        <v>16985</v>
      </c>
      <c r="AC29">
        <v>28265</v>
      </c>
      <c r="AD29">
        <v>19097</v>
      </c>
      <c r="AE29">
        <v>90</v>
      </c>
      <c r="AF29">
        <v>555</v>
      </c>
      <c r="AH29" t="s">
        <v>418</v>
      </c>
      <c r="AI29">
        <v>927</v>
      </c>
      <c r="AJ29">
        <v>249.38942826319999</v>
      </c>
      <c r="AK29">
        <v>751</v>
      </c>
      <c r="AL29">
        <v>78</v>
      </c>
      <c r="AM29">
        <v>1455</v>
      </c>
      <c r="AN29">
        <v>710</v>
      </c>
      <c r="AO29">
        <v>540</v>
      </c>
      <c r="AP29">
        <v>254</v>
      </c>
      <c r="AQ29">
        <v>297</v>
      </c>
      <c r="AR29">
        <v>131</v>
      </c>
      <c r="AS29">
        <v>4</v>
      </c>
      <c r="AT29">
        <v>6</v>
      </c>
      <c r="AV29" t="s">
        <v>418</v>
      </c>
      <c r="AW29">
        <v>25</v>
      </c>
      <c r="AX29">
        <v>40.32</v>
      </c>
      <c r="AY29">
        <v>79</v>
      </c>
      <c r="AZ29">
        <v>3</v>
      </c>
      <c r="BA29">
        <v>48</v>
      </c>
      <c r="BB29">
        <v>3</v>
      </c>
      <c r="BC29">
        <v>0</v>
      </c>
      <c r="BE29">
        <v>1</v>
      </c>
      <c r="BF29">
        <v>1</v>
      </c>
      <c r="BG29">
        <v>87</v>
      </c>
      <c r="BH29">
        <v>5</v>
      </c>
      <c r="BJ29" t="s">
        <v>512</v>
      </c>
      <c r="BK29" t="s">
        <v>369</v>
      </c>
      <c r="BL29">
        <v>3496</v>
      </c>
      <c r="BM29">
        <v>906</v>
      </c>
      <c r="BN29">
        <v>97.457665903899994</v>
      </c>
      <c r="BO29">
        <v>2575</v>
      </c>
      <c r="BP29">
        <v>655</v>
      </c>
      <c r="BQ29">
        <v>121.96970873790001</v>
      </c>
      <c r="BR29">
        <v>126.1618320611</v>
      </c>
      <c r="BS29">
        <v>3226</v>
      </c>
      <c r="BT29">
        <v>651</v>
      </c>
      <c r="BU29">
        <v>85.896466212000007</v>
      </c>
      <c r="BV29">
        <v>2370</v>
      </c>
      <c r="BW29">
        <v>612</v>
      </c>
      <c r="BX29">
        <v>113.87299578059999</v>
      </c>
      <c r="BY29">
        <v>120.10784313729999</v>
      </c>
      <c r="CA29" t="s">
        <v>390</v>
      </c>
      <c r="CB29" t="s">
        <v>807</v>
      </c>
      <c r="CD29">
        <v>51512</v>
      </c>
      <c r="CE29">
        <v>10169</v>
      </c>
      <c r="CF29">
        <v>88.418620903900006</v>
      </c>
      <c r="CG29">
        <v>38774</v>
      </c>
      <c r="CH29">
        <v>10089</v>
      </c>
      <c r="CI29">
        <v>127.35059576</v>
      </c>
      <c r="CJ29">
        <v>125.7539894935</v>
      </c>
      <c r="CL29" t="s">
        <v>390</v>
      </c>
      <c r="CM29" t="s">
        <v>782</v>
      </c>
      <c r="CO29">
        <v>4899</v>
      </c>
      <c r="CP29">
        <v>420</v>
      </c>
      <c r="CQ29">
        <v>64.431516635999998</v>
      </c>
      <c r="CR29">
        <v>6618</v>
      </c>
      <c r="CS29">
        <v>1736</v>
      </c>
      <c r="CT29">
        <v>67.157902689599993</v>
      </c>
      <c r="CU29">
        <v>71.256336405499994</v>
      </c>
      <c r="CW29" t="s">
        <v>390</v>
      </c>
      <c r="CX29" t="s">
        <v>795</v>
      </c>
      <c r="CZ29">
        <v>1424</v>
      </c>
      <c r="DA29">
        <v>227</v>
      </c>
      <c r="DB29">
        <v>80.688202247199996</v>
      </c>
      <c r="DC29">
        <v>555</v>
      </c>
      <c r="DD29">
        <v>144</v>
      </c>
      <c r="DE29">
        <v>128.65405405409999</v>
      </c>
      <c r="DF29">
        <v>131.5</v>
      </c>
      <c r="DH29" t="s">
        <v>390</v>
      </c>
      <c r="DI29" t="s">
        <v>769</v>
      </c>
      <c r="DK29">
        <v>1076</v>
      </c>
      <c r="DL29">
        <v>159</v>
      </c>
      <c r="DM29">
        <v>78.024163568800006</v>
      </c>
      <c r="DN29">
        <v>623</v>
      </c>
      <c r="DO29">
        <v>177</v>
      </c>
      <c r="DP29">
        <v>124.4462279294</v>
      </c>
      <c r="DQ29">
        <v>129.49717514119999</v>
      </c>
    </row>
    <row r="30" spans="2:121" x14ac:dyDescent="0.2">
      <c r="B30" t="s">
        <v>20</v>
      </c>
      <c r="C30">
        <v>314</v>
      </c>
      <c r="D30">
        <v>186</v>
      </c>
      <c r="F30" t="s">
        <v>48</v>
      </c>
      <c r="G30">
        <v>1704</v>
      </c>
      <c r="H30">
        <v>262.89906103290002</v>
      </c>
      <c r="I30">
        <v>2022</v>
      </c>
      <c r="J30">
        <v>431</v>
      </c>
      <c r="K30">
        <v>2166</v>
      </c>
      <c r="L30">
        <v>1467</v>
      </c>
      <c r="M30">
        <v>1120</v>
      </c>
      <c r="N30">
        <v>628</v>
      </c>
      <c r="O30">
        <v>162</v>
      </c>
      <c r="P30">
        <v>95</v>
      </c>
      <c r="Q30">
        <v>0</v>
      </c>
      <c r="R30">
        <v>0</v>
      </c>
      <c r="T30" t="s">
        <v>380</v>
      </c>
      <c r="U30">
        <v>77999</v>
      </c>
      <c r="V30">
        <v>373.0065898281</v>
      </c>
      <c r="W30">
        <v>76804</v>
      </c>
      <c r="X30">
        <v>17724</v>
      </c>
      <c r="Y30">
        <v>113220</v>
      </c>
      <c r="Z30">
        <v>74308</v>
      </c>
      <c r="AA30">
        <v>31393</v>
      </c>
      <c r="AB30">
        <v>20708</v>
      </c>
      <c r="AC30">
        <v>40710</v>
      </c>
      <c r="AD30">
        <v>25254</v>
      </c>
      <c r="AE30">
        <v>5482</v>
      </c>
      <c r="AF30">
        <v>1085</v>
      </c>
      <c r="AH30" t="s">
        <v>400</v>
      </c>
      <c r="AI30">
        <v>1386</v>
      </c>
      <c r="AJ30">
        <v>220.45743145739999</v>
      </c>
      <c r="AK30">
        <v>2120</v>
      </c>
      <c r="AL30">
        <v>244</v>
      </c>
      <c r="AM30">
        <v>2225</v>
      </c>
      <c r="AN30">
        <v>1117</v>
      </c>
      <c r="AO30">
        <v>820</v>
      </c>
      <c r="AP30">
        <v>570</v>
      </c>
      <c r="AQ30">
        <v>546</v>
      </c>
      <c r="AR30">
        <v>251</v>
      </c>
      <c r="AS30">
        <v>2</v>
      </c>
      <c r="AT30">
        <v>13</v>
      </c>
      <c r="AV30" t="s">
        <v>405</v>
      </c>
      <c r="AW30">
        <v>43</v>
      </c>
      <c r="AX30">
        <v>39.2093023256</v>
      </c>
      <c r="AY30">
        <v>123</v>
      </c>
      <c r="AZ30">
        <v>3</v>
      </c>
      <c r="BA30">
        <v>74</v>
      </c>
      <c r="BB30">
        <v>5</v>
      </c>
      <c r="BC30">
        <v>0</v>
      </c>
      <c r="BE30">
        <v>5</v>
      </c>
      <c r="BF30">
        <v>1</v>
      </c>
      <c r="BG30">
        <v>165</v>
      </c>
      <c r="BH30">
        <v>15</v>
      </c>
      <c r="BJ30" t="s">
        <v>520</v>
      </c>
      <c r="BK30" t="s">
        <v>369</v>
      </c>
      <c r="BL30">
        <v>3658</v>
      </c>
      <c r="BM30">
        <v>703</v>
      </c>
      <c r="BN30">
        <v>89.739201749599999</v>
      </c>
      <c r="BO30">
        <v>2909</v>
      </c>
      <c r="BP30">
        <v>696</v>
      </c>
      <c r="BQ30">
        <v>149.20831901</v>
      </c>
      <c r="BR30">
        <v>143.7327586207</v>
      </c>
      <c r="BS30">
        <v>3110</v>
      </c>
      <c r="BT30">
        <v>496</v>
      </c>
      <c r="BU30">
        <v>80.204180064300004</v>
      </c>
      <c r="BV30">
        <v>2243</v>
      </c>
      <c r="BW30">
        <v>557</v>
      </c>
      <c r="BX30">
        <v>145.3553276861</v>
      </c>
      <c r="BY30">
        <v>141.73070017949999</v>
      </c>
      <c r="CA30" t="s">
        <v>373</v>
      </c>
      <c r="CB30" t="s">
        <v>856</v>
      </c>
      <c r="CC30" t="s">
        <v>980</v>
      </c>
      <c r="CD30">
        <v>1937</v>
      </c>
      <c r="CE30">
        <v>319</v>
      </c>
      <c r="CF30">
        <v>83.200826019600001</v>
      </c>
      <c r="CG30">
        <v>1382</v>
      </c>
      <c r="CH30">
        <v>253</v>
      </c>
      <c r="CI30">
        <v>111.0976845152</v>
      </c>
      <c r="CJ30">
        <v>119.7628458498</v>
      </c>
      <c r="CL30" t="s">
        <v>373</v>
      </c>
      <c r="CM30" t="s">
        <v>825</v>
      </c>
      <c r="CN30" t="s">
        <v>824</v>
      </c>
      <c r="CO30">
        <v>218</v>
      </c>
      <c r="CP30">
        <v>27</v>
      </c>
      <c r="CQ30">
        <v>69.344036697199996</v>
      </c>
      <c r="CR30">
        <v>182</v>
      </c>
      <c r="CS30">
        <v>48</v>
      </c>
      <c r="CT30">
        <v>76.851648351600005</v>
      </c>
      <c r="CU30">
        <v>71.833333333300004</v>
      </c>
      <c r="CW30" t="s">
        <v>373</v>
      </c>
      <c r="CX30" t="s">
        <v>841</v>
      </c>
      <c r="CY30" t="s">
        <v>840</v>
      </c>
      <c r="CZ30">
        <v>53</v>
      </c>
      <c r="DA30">
        <v>10</v>
      </c>
      <c r="DB30">
        <v>84.735849056600003</v>
      </c>
      <c r="DC30">
        <v>28</v>
      </c>
      <c r="DD30">
        <v>9</v>
      </c>
      <c r="DE30">
        <v>125.8928571429</v>
      </c>
      <c r="DF30">
        <v>136.3333333333</v>
      </c>
      <c r="DH30" t="s">
        <v>373</v>
      </c>
      <c r="DI30" t="s">
        <v>809</v>
      </c>
      <c r="DJ30" t="s">
        <v>808</v>
      </c>
      <c r="DK30">
        <v>65</v>
      </c>
      <c r="DL30">
        <v>19</v>
      </c>
      <c r="DM30">
        <v>95.6</v>
      </c>
      <c r="DN30">
        <v>25</v>
      </c>
      <c r="DO30">
        <v>9</v>
      </c>
      <c r="DP30">
        <v>143.12</v>
      </c>
      <c r="DQ30">
        <v>165.3333333333</v>
      </c>
    </row>
    <row r="31" spans="2:121" x14ac:dyDescent="0.2">
      <c r="B31" t="s">
        <v>96</v>
      </c>
      <c r="C31">
        <v>190</v>
      </c>
      <c r="D31">
        <v>160</v>
      </c>
      <c r="F31" t="s">
        <v>76</v>
      </c>
      <c r="G31">
        <v>12008</v>
      </c>
      <c r="H31">
        <v>393.1325782811</v>
      </c>
      <c r="I31">
        <v>7133</v>
      </c>
      <c r="J31">
        <v>1189</v>
      </c>
      <c r="K31">
        <v>17132</v>
      </c>
      <c r="L31">
        <v>12218</v>
      </c>
      <c r="M31">
        <v>6254</v>
      </c>
      <c r="N31">
        <v>4108</v>
      </c>
      <c r="O31">
        <v>4204</v>
      </c>
      <c r="P31">
        <v>3624</v>
      </c>
      <c r="Q31">
        <v>2</v>
      </c>
      <c r="R31">
        <v>144</v>
      </c>
      <c r="T31" t="s">
        <v>461</v>
      </c>
      <c r="U31">
        <v>325389</v>
      </c>
      <c r="V31">
        <v>388.57879645589998</v>
      </c>
      <c r="W31">
        <v>333869</v>
      </c>
      <c r="X31">
        <v>72280</v>
      </c>
      <c r="Y31">
        <v>473384</v>
      </c>
      <c r="Z31">
        <v>306817</v>
      </c>
      <c r="AA31">
        <v>131921</v>
      </c>
      <c r="AB31">
        <v>85935</v>
      </c>
      <c r="AC31">
        <v>153557</v>
      </c>
      <c r="AD31">
        <v>98418</v>
      </c>
      <c r="AE31">
        <v>18862</v>
      </c>
      <c r="AF31">
        <v>4002</v>
      </c>
      <c r="AH31" t="s">
        <v>413</v>
      </c>
      <c r="AI31">
        <v>3932</v>
      </c>
      <c r="AJ31">
        <v>441.76373346899999</v>
      </c>
      <c r="AK31">
        <v>3711</v>
      </c>
      <c r="AL31">
        <v>793</v>
      </c>
      <c r="AM31">
        <v>5249</v>
      </c>
      <c r="AN31">
        <v>3455</v>
      </c>
      <c r="AO31">
        <v>1038</v>
      </c>
      <c r="AP31">
        <v>603</v>
      </c>
      <c r="AQ31">
        <v>1735</v>
      </c>
      <c r="AR31">
        <v>1168</v>
      </c>
      <c r="AS31">
        <v>6</v>
      </c>
      <c r="AT31">
        <v>115</v>
      </c>
      <c r="AV31" t="s">
        <v>384</v>
      </c>
      <c r="AW31">
        <v>320</v>
      </c>
      <c r="AX31">
        <v>56.918750000000003</v>
      </c>
      <c r="AY31">
        <v>721</v>
      </c>
      <c r="AZ31">
        <v>51</v>
      </c>
      <c r="BA31">
        <v>511</v>
      </c>
      <c r="BB31">
        <v>44</v>
      </c>
      <c r="BC31">
        <v>3</v>
      </c>
      <c r="BD31">
        <v>3</v>
      </c>
      <c r="BE31">
        <v>51</v>
      </c>
      <c r="BF31">
        <v>13</v>
      </c>
      <c r="BG31">
        <v>114</v>
      </c>
      <c r="BH31">
        <v>66</v>
      </c>
      <c r="BJ31" t="s">
        <v>522</v>
      </c>
      <c r="BK31" t="s">
        <v>369</v>
      </c>
      <c r="BL31">
        <v>1898</v>
      </c>
      <c r="BM31">
        <v>311</v>
      </c>
      <c r="BN31">
        <v>83.605374077999997</v>
      </c>
      <c r="BO31">
        <v>1352</v>
      </c>
      <c r="BP31">
        <v>252</v>
      </c>
      <c r="BQ31">
        <v>113.4334319527</v>
      </c>
      <c r="BR31">
        <v>120.880952381</v>
      </c>
      <c r="BS31">
        <v>3159</v>
      </c>
      <c r="BT31">
        <v>557</v>
      </c>
      <c r="BU31">
        <v>89.485913263699999</v>
      </c>
      <c r="BV31">
        <v>2018</v>
      </c>
      <c r="BW31">
        <v>416</v>
      </c>
      <c r="BX31">
        <v>137.05599603569999</v>
      </c>
      <c r="BY31">
        <v>146.75480769230001</v>
      </c>
      <c r="CA31" t="s">
        <v>423</v>
      </c>
      <c r="CB31" t="s">
        <v>856</v>
      </c>
      <c r="CC31" t="s">
        <v>981</v>
      </c>
      <c r="CD31">
        <v>844</v>
      </c>
      <c r="CE31">
        <v>247</v>
      </c>
      <c r="CF31">
        <v>106.88507109</v>
      </c>
      <c r="CG31">
        <v>645</v>
      </c>
      <c r="CH31">
        <v>150</v>
      </c>
      <c r="CI31">
        <v>142.25271317830001</v>
      </c>
      <c r="CJ31">
        <v>147.13333333329999</v>
      </c>
      <c r="CL31" t="s">
        <v>423</v>
      </c>
      <c r="CM31" t="s">
        <v>825</v>
      </c>
      <c r="CN31" t="s">
        <v>826</v>
      </c>
      <c r="CO31">
        <v>70</v>
      </c>
      <c r="CP31">
        <v>5</v>
      </c>
      <c r="CQ31">
        <v>78.071428571400006</v>
      </c>
      <c r="CR31">
        <v>58</v>
      </c>
      <c r="CS31">
        <v>17</v>
      </c>
      <c r="CT31">
        <v>82.5</v>
      </c>
      <c r="CU31">
        <v>116.76470588239999</v>
      </c>
      <c r="CW31" t="s">
        <v>423</v>
      </c>
      <c r="CX31" t="s">
        <v>841</v>
      </c>
      <c r="CY31" t="s">
        <v>842</v>
      </c>
      <c r="CZ31">
        <v>20</v>
      </c>
      <c r="DA31">
        <v>3</v>
      </c>
      <c r="DB31">
        <v>82</v>
      </c>
      <c r="DC31">
        <v>10</v>
      </c>
      <c r="DD31">
        <v>2</v>
      </c>
      <c r="DE31">
        <v>148.1</v>
      </c>
      <c r="DF31">
        <v>142.5</v>
      </c>
      <c r="DH31" t="s">
        <v>423</v>
      </c>
      <c r="DI31" t="s">
        <v>809</v>
      </c>
      <c r="DJ31" t="s">
        <v>810</v>
      </c>
      <c r="DK31">
        <v>28</v>
      </c>
      <c r="DL31">
        <v>6</v>
      </c>
      <c r="DM31">
        <v>96.392857142899999</v>
      </c>
      <c r="DN31">
        <v>7</v>
      </c>
      <c r="DO31">
        <v>6</v>
      </c>
      <c r="DP31">
        <v>172.1428571429</v>
      </c>
      <c r="DQ31">
        <v>163.6666666667</v>
      </c>
    </row>
    <row r="32" spans="2:121" x14ac:dyDescent="0.2">
      <c r="B32" t="s">
        <v>22</v>
      </c>
      <c r="C32">
        <v>201571</v>
      </c>
      <c r="D32">
        <v>38090</v>
      </c>
      <c r="F32" t="s">
        <v>68</v>
      </c>
      <c r="G32">
        <v>4283</v>
      </c>
      <c r="H32">
        <v>488.77865981790001</v>
      </c>
      <c r="I32">
        <v>5206</v>
      </c>
      <c r="J32">
        <v>1492</v>
      </c>
      <c r="K32">
        <v>5839</v>
      </c>
      <c r="L32">
        <v>4554</v>
      </c>
      <c r="M32">
        <v>792</v>
      </c>
      <c r="N32">
        <v>448</v>
      </c>
      <c r="O32">
        <v>993</v>
      </c>
      <c r="P32">
        <v>721</v>
      </c>
      <c r="Q32">
        <v>0</v>
      </c>
      <c r="R32">
        <v>1</v>
      </c>
      <c r="AH32" t="s">
        <v>415</v>
      </c>
      <c r="AI32">
        <v>1606</v>
      </c>
      <c r="AJ32">
        <v>400.73163138230001</v>
      </c>
      <c r="AK32">
        <v>1206</v>
      </c>
      <c r="AL32">
        <v>265</v>
      </c>
      <c r="AM32">
        <v>2268</v>
      </c>
      <c r="AN32">
        <v>1500</v>
      </c>
      <c r="AO32">
        <v>530</v>
      </c>
      <c r="AP32">
        <v>471</v>
      </c>
      <c r="AQ32">
        <v>198</v>
      </c>
      <c r="AR32">
        <v>113</v>
      </c>
      <c r="AS32">
        <v>170</v>
      </c>
      <c r="AT32">
        <v>2</v>
      </c>
      <c r="AV32" t="s">
        <v>415</v>
      </c>
      <c r="AW32">
        <v>115</v>
      </c>
      <c r="AX32">
        <v>95.513043478300006</v>
      </c>
      <c r="AY32">
        <v>152</v>
      </c>
      <c r="AZ32">
        <v>34</v>
      </c>
      <c r="BA32">
        <v>157</v>
      </c>
      <c r="BB32">
        <v>54</v>
      </c>
      <c r="BC32">
        <v>2</v>
      </c>
      <c r="BD32">
        <v>2</v>
      </c>
      <c r="BE32">
        <v>15</v>
      </c>
      <c r="BF32">
        <v>4</v>
      </c>
      <c r="BG32">
        <v>14</v>
      </c>
      <c r="BH32">
        <v>38</v>
      </c>
      <c r="BJ32" t="s">
        <v>537</v>
      </c>
      <c r="BK32" t="s">
        <v>369</v>
      </c>
      <c r="BL32">
        <v>2518</v>
      </c>
      <c r="BM32">
        <v>343</v>
      </c>
      <c r="BN32">
        <v>80.5965051628</v>
      </c>
      <c r="BO32">
        <v>1899</v>
      </c>
      <c r="BP32">
        <v>493</v>
      </c>
      <c r="BQ32">
        <v>115.6482359136</v>
      </c>
      <c r="BR32">
        <v>119.1379310345</v>
      </c>
      <c r="BS32">
        <v>5379</v>
      </c>
      <c r="BT32">
        <v>1060</v>
      </c>
      <c r="BU32">
        <v>94.840862613900001</v>
      </c>
      <c r="BV32">
        <v>4080</v>
      </c>
      <c r="BW32">
        <v>1122</v>
      </c>
      <c r="BX32">
        <v>135.82450980390001</v>
      </c>
      <c r="BY32">
        <v>138.4483065954</v>
      </c>
      <c r="CA32" t="s">
        <v>414</v>
      </c>
      <c r="CB32" t="s">
        <v>856</v>
      </c>
      <c r="CC32" t="s">
        <v>982</v>
      </c>
      <c r="CD32">
        <v>378</v>
      </c>
      <c r="CE32">
        <v>85</v>
      </c>
      <c r="CF32">
        <v>102.3703703704</v>
      </c>
      <c r="CG32">
        <v>290</v>
      </c>
      <c r="CH32">
        <v>64</v>
      </c>
      <c r="CI32">
        <v>150.6965517241</v>
      </c>
      <c r="CJ32">
        <v>146.25</v>
      </c>
      <c r="CL32" t="s">
        <v>414</v>
      </c>
      <c r="CM32" t="s">
        <v>825</v>
      </c>
      <c r="CN32" t="s">
        <v>827</v>
      </c>
      <c r="CO32">
        <v>65</v>
      </c>
      <c r="CP32">
        <v>7</v>
      </c>
      <c r="CQ32">
        <v>69.676923076899996</v>
      </c>
      <c r="CR32">
        <v>65</v>
      </c>
      <c r="CS32">
        <v>14</v>
      </c>
      <c r="CT32">
        <v>85.753846153799998</v>
      </c>
      <c r="CU32">
        <v>81.428571428599994</v>
      </c>
      <c r="CW32" t="s">
        <v>414</v>
      </c>
      <c r="CX32" t="s">
        <v>841</v>
      </c>
      <c r="CY32" t="s">
        <v>843</v>
      </c>
      <c r="CZ32">
        <v>25</v>
      </c>
      <c r="DA32">
        <v>6</v>
      </c>
      <c r="DB32">
        <v>84.56</v>
      </c>
      <c r="DC32">
        <v>6</v>
      </c>
      <c r="DD32">
        <v>2</v>
      </c>
      <c r="DE32">
        <v>145.6666666667</v>
      </c>
      <c r="DF32">
        <v>149.5</v>
      </c>
      <c r="DH32" t="s">
        <v>414</v>
      </c>
      <c r="DI32" t="s">
        <v>809</v>
      </c>
      <c r="DJ32" t="s">
        <v>811</v>
      </c>
      <c r="DK32">
        <v>29</v>
      </c>
      <c r="DL32">
        <v>9</v>
      </c>
      <c r="DM32">
        <v>97.068965517199999</v>
      </c>
      <c r="DN32">
        <v>11</v>
      </c>
      <c r="DO32">
        <v>2</v>
      </c>
      <c r="DP32">
        <v>129.0909090909</v>
      </c>
      <c r="DQ32">
        <v>155</v>
      </c>
    </row>
    <row r="33" spans="2:121" x14ac:dyDescent="0.2">
      <c r="B33" t="s">
        <v>117</v>
      </c>
      <c r="C33">
        <v>6948</v>
      </c>
      <c r="D33">
        <v>1440</v>
      </c>
      <c r="F33" t="s">
        <v>70</v>
      </c>
      <c r="G33">
        <v>1036</v>
      </c>
      <c r="H33">
        <v>198.89382239380001</v>
      </c>
      <c r="I33">
        <v>2210</v>
      </c>
      <c r="J33">
        <v>371</v>
      </c>
      <c r="K33">
        <v>4325</v>
      </c>
      <c r="L33">
        <v>1122</v>
      </c>
      <c r="M33">
        <v>3428</v>
      </c>
      <c r="N33">
        <v>2509</v>
      </c>
      <c r="O33">
        <v>374</v>
      </c>
      <c r="P33">
        <v>156</v>
      </c>
      <c r="Q33">
        <v>0</v>
      </c>
      <c r="R33">
        <v>0</v>
      </c>
      <c r="AH33" t="s">
        <v>374</v>
      </c>
      <c r="AI33">
        <v>2592</v>
      </c>
      <c r="AJ33">
        <v>305.47878086420002</v>
      </c>
      <c r="AK33">
        <v>4162</v>
      </c>
      <c r="AL33">
        <v>906</v>
      </c>
      <c r="AM33">
        <v>4122</v>
      </c>
      <c r="AN33">
        <v>2208</v>
      </c>
      <c r="AO33">
        <v>1409</v>
      </c>
      <c r="AP33">
        <v>931</v>
      </c>
      <c r="AQ33">
        <v>2184</v>
      </c>
      <c r="AR33">
        <v>1416</v>
      </c>
      <c r="AS33">
        <v>742</v>
      </c>
      <c r="AT33">
        <v>4</v>
      </c>
      <c r="AV33" t="s">
        <v>426</v>
      </c>
      <c r="AW33">
        <v>140</v>
      </c>
      <c r="AX33">
        <v>52.1</v>
      </c>
      <c r="AY33">
        <v>466</v>
      </c>
      <c r="AZ33">
        <v>30</v>
      </c>
      <c r="BA33">
        <v>223</v>
      </c>
      <c r="BB33">
        <v>14</v>
      </c>
      <c r="BC33">
        <v>3</v>
      </c>
      <c r="BD33">
        <v>3</v>
      </c>
      <c r="BE33">
        <v>10</v>
      </c>
      <c r="BF33">
        <v>3</v>
      </c>
      <c r="BG33">
        <v>326</v>
      </c>
      <c r="BH33">
        <v>50</v>
      </c>
      <c r="BJ33" t="s">
        <v>622</v>
      </c>
      <c r="BK33" t="s">
        <v>369</v>
      </c>
      <c r="BL33">
        <v>1193</v>
      </c>
      <c r="BM33">
        <v>236</v>
      </c>
      <c r="BN33">
        <v>94.818943839100001</v>
      </c>
      <c r="BO33">
        <v>876</v>
      </c>
      <c r="BP33">
        <v>291</v>
      </c>
      <c r="BQ33">
        <v>129.62899543379999</v>
      </c>
      <c r="BR33">
        <v>127.63573883159999</v>
      </c>
      <c r="BS33">
        <v>1216</v>
      </c>
      <c r="BT33">
        <v>262</v>
      </c>
      <c r="BU33">
        <v>97.334703947400001</v>
      </c>
      <c r="BV33">
        <v>887</v>
      </c>
      <c r="BW33">
        <v>302</v>
      </c>
      <c r="BX33">
        <v>137.51634723789999</v>
      </c>
      <c r="BY33">
        <v>128.07284768209999</v>
      </c>
      <c r="CA33" t="s">
        <v>416</v>
      </c>
      <c r="CB33" t="s">
        <v>856</v>
      </c>
      <c r="CC33" t="s">
        <v>983</v>
      </c>
      <c r="CD33">
        <v>1265</v>
      </c>
      <c r="CE33">
        <v>165</v>
      </c>
      <c r="CF33">
        <v>73.595256917</v>
      </c>
      <c r="CG33">
        <v>1130</v>
      </c>
      <c r="CH33">
        <v>265</v>
      </c>
      <c r="CI33">
        <v>105.30265486730001</v>
      </c>
      <c r="CJ33">
        <v>105.15094339620001</v>
      </c>
      <c r="CL33" t="s">
        <v>416</v>
      </c>
      <c r="CM33" t="s">
        <v>825</v>
      </c>
      <c r="CN33" t="s">
        <v>828</v>
      </c>
      <c r="CO33">
        <v>112</v>
      </c>
      <c r="CP33">
        <v>13</v>
      </c>
      <c r="CQ33">
        <v>68.758928571400006</v>
      </c>
      <c r="CR33">
        <v>126</v>
      </c>
      <c r="CS33">
        <v>33</v>
      </c>
      <c r="CT33">
        <v>77.626984127</v>
      </c>
      <c r="CU33">
        <v>101.1818181818</v>
      </c>
      <c r="CW33" t="s">
        <v>416</v>
      </c>
      <c r="CX33" t="s">
        <v>841</v>
      </c>
      <c r="CY33" t="s">
        <v>844</v>
      </c>
      <c r="CZ33">
        <v>34</v>
      </c>
      <c r="DA33">
        <v>5</v>
      </c>
      <c r="DB33">
        <v>79.764705882399994</v>
      </c>
      <c r="DC33">
        <v>7</v>
      </c>
      <c r="DD33">
        <v>3</v>
      </c>
      <c r="DE33">
        <v>150.1428571429</v>
      </c>
      <c r="DF33">
        <v>153.6666666667</v>
      </c>
      <c r="DH33" t="s">
        <v>416</v>
      </c>
      <c r="DI33" t="s">
        <v>809</v>
      </c>
      <c r="DJ33" t="s">
        <v>812</v>
      </c>
      <c r="DK33">
        <v>21</v>
      </c>
      <c r="DL33">
        <v>6</v>
      </c>
      <c r="DM33">
        <v>90.476190476200003</v>
      </c>
      <c r="DN33">
        <v>9</v>
      </c>
      <c r="DO33">
        <v>1</v>
      </c>
      <c r="DP33">
        <v>161.55555555559999</v>
      </c>
      <c r="DQ33">
        <v>113</v>
      </c>
    </row>
    <row r="34" spans="2:121" x14ac:dyDescent="0.2">
      <c r="B34" t="s">
        <v>160</v>
      </c>
      <c r="C34">
        <v>4385</v>
      </c>
      <c r="D34">
        <v>4104</v>
      </c>
      <c r="F34" t="s">
        <v>74</v>
      </c>
      <c r="G34">
        <v>7090</v>
      </c>
      <c r="H34">
        <v>338.92990126939998</v>
      </c>
      <c r="I34">
        <v>12178</v>
      </c>
      <c r="J34">
        <v>1742</v>
      </c>
      <c r="K34">
        <v>17351</v>
      </c>
      <c r="L34">
        <v>8941</v>
      </c>
      <c r="M34">
        <v>5128</v>
      </c>
      <c r="N34">
        <v>2334</v>
      </c>
      <c r="O34">
        <v>2252</v>
      </c>
      <c r="P34">
        <v>1555</v>
      </c>
      <c r="Q34">
        <v>0</v>
      </c>
      <c r="R34">
        <v>58</v>
      </c>
      <c r="AH34" t="s">
        <v>405</v>
      </c>
      <c r="AI34">
        <v>1601</v>
      </c>
      <c r="AJ34">
        <v>215.84759525300001</v>
      </c>
      <c r="AK34">
        <v>2713</v>
      </c>
      <c r="AL34">
        <v>618</v>
      </c>
      <c r="AM34">
        <v>2455</v>
      </c>
      <c r="AN34">
        <v>1062</v>
      </c>
      <c r="AO34">
        <v>649</v>
      </c>
      <c r="AP34">
        <v>293</v>
      </c>
      <c r="AQ34">
        <v>801</v>
      </c>
      <c r="AR34">
        <v>432</v>
      </c>
      <c r="AS34">
        <v>4</v>
      </c>
      <c r="AT34">
        <v>9</v>
      </c>
      <c r="AV34" t="s">
        <v>395</v>
      </c>
      <c r="AW34">
        <v>400</v>
      </c>
      <c r="AX34">
        <v>53.077500000000001</v>
      </c>
      <c r="AY34">
        <v>1101</v>
      </c>
      <c r="AZ34">
        <v>97</v>
      </c>
      <c r="BA34">
        <v>624</v>
      </c>
      <c r="BB34">
        <v>41</v>
      </c>
      <c r="BC34">
        <v>1</v>
      </c>
      <c r="BD34">
        <v>1</v>
      </c>
      <c r="BE34">
        <v>54</v>
      </c>
      <c r="BF34">
        <v>8</v>
      </c>
      <c r="BG34">
        <v>95</v>
      </c>
      <c r="BH34">
        <v>79</v>
      </c>
      <c r="BJ34" t="s">
        <v>518</v>
      </c>
      <c r="BK34" t="s">
        <v>369</v>
      </c>
      <c r="BL34">
        <v>4896</v>
      </c>
      <c r="BM34">
        <v>1138</v>
      </c>
      <c r="BN34">
        <v>95.041258169900004</v>
      </c>
      <c r="BO34">
        <v>3000</v>
      </c>
      <c r="BP34">
        <v>755</v>
      </c>
      <c r="BQ34">
        <v>140.78733333330001</v>
      </c>
      <c r="BR34">
        <v>144.9920529801</v>
      </c>
      <c r="BS34">
        <v>3866</v>
      </c>
      <c r="BT34">
        <v>879</v>
      </c>
      <c r="BU34">
        <v>91.264097258099994</v>
      </c>
      <c r="BV34">
        <v>2467</v>
      </c>
      <c r="BW34">
        <v>568</v>
      </c>
      <c r="BX34">
        <v>131.0976895014</v>
      </c>
      <c r="BY34">
        <v>137.04225352110001</v>
      </c>
      <c r="CA34" t="s">
        <v>376</v>
      </c>
      <c r="CB34" t="s">
        <v>856</v>
      </c>
      <c r="CC34" t="s">
        <v>984</v>
      </c>
      <c r="CD34">
        <v>5186</v>
      </c>
      <c r="CE34">
        <v>1017</v>
      </c>
      <c r="CF34">
        <v>91.907443116099998</v>
      </c>
      <c r="CG34">
        <v>4015</v>
      </c>
      <c r="CH34">
        <v>971</v>
      </c>
      <c r="CI34">
        <v>137.4819427148</v>
      </c>
      <c r="CJ34">
        <v>137.09371781670001</v>
      </c>
      <c r="CL34" t="s">
        <v>376</v>
      </c>
      <c r="CM34" t="s">
        <v>825</v>
      </c>
      <c r="CN34" t="s">
        <v>829</v>
      </c>
      <c r="CO34">
        <v>487</v>
      </c>
      <c r="CP34">
        <v>47</v>
      </c>
      <c r="CQ34">
        <v>65.488706365499993</v>
      </c>
      <c r="CR34">
        <v>403</v>
      </c>
      <c r="CS34">
        <v>130</v>
      </c>
      <c r="CT34">
        <v>82.704714640199995</v>
      </c>
      <c r="CU34">
        <v>81.192307692300005</v>
      </c>
      <c r="CW34" t="s">
        <v>376</v>
      </c>
      <c r="CX34" t="s">
        <v>841</v>
      </c>
      <c r="CY34" t="s">
        <v>845</v>
      </c>
      <c r="CZ34">
        <v>262</v>
      </c>
      <c r="DA34">
        <v>61</v>
      </c>
      <c r="DB34">
        <v>89.038167938900003</v>
      </c>
      <c r="DC34">
        <v>104</v>
      </c>
      <c r="DD34">
        <v>32</v>
      </c>
      <c r="DE34">
        <v>141.99038461539999</v>
      </c>
      <c r="DF34">
        <v>155.625</v>
      </c>
      <c r="DH34" t="s">
        <v>376</v>
      </c>
      <c r="DI34" t="s">
        <v>809</v>
      </c>
      <c r="DJ34" t="s">
        <v>813</v>
      </c>
      <c r="DK34">
        <v>389</v>
      </c>
      <c r="DL34">
        <v>91</v>
      </c>
      <c r="DM34">
        <v>88.254498714700006</v>
      </c>
      <c r="DN34">
        <v>113</v>
      </c>
      <c r="DO34">
        <v>38</v>
      </c>
      <c r="DP34">
        <v>142.2477876106</v>
      </c>
      <c r="DQ34">
        <v>139.18421052630001</v>
      </c>
    </row>
    <row r="35" spans="2:121" x14ac:dyDescent="0.2">
      <c r="B35" t="s">
        <v>125</v>
      </c>
      <c r="C35">
        <v>706</v>
      </c>
      <c r="D35">
        <v>22</v>
      </c>
      <c r="F35" t="s">
        <v>40</v>
      </c>
      <c r="G35">
        <v>6021</v>
      </c>
      <c r="H35">
        <v>513.3893041023</v>
      </c>
      <c r="I35">
        <v>6870</v>
      </c>
      <c r="J35">
        <v>1691</v>
      </c>
      <c r="K35">
        <v>7328</v>
      </c>
      <c r="L35">
        <v>5657</v>
      </c>
      <c r="M35">
        <v>1815</v>
      </c>
      <c r="N35">
        <v>1495</v>
      </c>
      <c r="O35">
        <v>1011</v>
      </c>
      <c r="P35">
        <v>639</v>
      </c>
      <c r="Q35">
        <v>0</v>
      </c>
      <c r="R35">
        <v>210</v>
      </c>
      <c r="AH35" t="s">
        <v>63</v>
      </c>
      <c r="AI35">
        <v>6727</v>
      </c>
      <c r="AJ35">
        <v>293.76512561319998</v>
      </c>
      <c r="AK35">
        <v>8866</v>
      </c>
      <c r="AL35">
        <v>1899</v>
      </c>
      <c r="AM35">
        <v>10089</v>
      </c>
      <c r="AN35">
        <v>6154</v>
      </c>
      <c r="AO35">
        <v>4568</v>
      </c>
      <c r="AP35">
        <v>3280</v>
      </c>
      <c r="AQ35">
        <v>2898</v>
      </c>
      <c r="AR35">
        <v>1403</v>
      </c>
      <c r="AS35">
        <v>1519</v>
      </c>
      <c r="AT35">
        <v>7</v>
      </c>
      <c r="AV35" t="s">
        <v>372</v>
      </c>
      <c r="AW35">
        <v>92</v>
      </c>
      <c r="AX35">
        <v>79.934782608700004</v>
      </c>
      <c r="AY35">
        <v>172</v>
      </c>
      <c r="AZ35">
        <v>32</v>
      </c>
      <c r="BA35">
        <v>141</v>
      </c>
      <c r="BB35">
        <v>34</v>
      </c>
      <c r="BC35">
        <v>5</v>
      </c>
      <c r="BD35">
        <v>5</v>
      </c>
      <c r="BE35">
        <v>15</v>
      </c>
      <c r="BF35">
        <v>3</v>
      </c>
      <c r="BG35">
        <v>19</v>
      </c>
      <c r="BH35">
        <v>30</v>
      </c>
      <c r="BJ35" t="s">
        <v>524</v>
      </c>
      <c r="BK35" t="s">
        <v>369</v>
      </c>
      <c r="BL35">
        <v>2761</v>
      </c>
      <c r="BM35">
        <v>467</v>
      </c>
      <c r="BN35">
        <v>82.780514306399994</v>
      </c>
      <c r="BO35">
        <v>1814</v>
      </c>
      <c r="BP35">
        <v>361</v>
      </c>
      <c r="BQ35">
        <v>144.2905181918</v>
      </c>
      <c r="BR35">
        <v>160.37673130190001</v>
      </c>
      <c r="BS35">
        <v>2347</v>
      </c>
      <c r="BT35">
        <v>310</v>
      </c>
      <c r="BU35">
        <v>75.244567532999994</v>
      </c>
      <c r="BV35">
        <v>1467</v>
      </c>
      <c r="BW35">
        <v>272</v>
      </c>
      <c r="BX35">
        <v>141.68507157459999</v>
      </c>
      <c r="BY35">
        <v>162.0882352941</v>
      </c>
      <c r="CA35" t="s">
        <v>371</v>
      </c>
      <c r="CB35" t="s">
        <v>856</v>
      </c>
      <c r="CC35" t="s">
        <v>985</v>
      </c>
      <c r="CD35">
        <v>4283</v>
      </c>
      <c r="CE35">
        <v>1082</v>
      </c>
      <c r="CF35">
        <v>97.403689002999997</v>
      </c>
      <c r="CG35">
        <v>3099</v>
      </c>
      <c r="CH35">
        <v>792</v>
      </c>
      <c r="CI35">
        <v>120.8276863504</v>
      </c>
      <c r="CJ35">
        <v>122.6553030303</v>
      </c>
      <c r="CL35" t="s">
        <v>371</v>
      </c>
      <c r="CM35" t="s">
        <v>825</v>
      </c>
      <c r="CN35" t="s">
        <v>830</v>
      </c>
      <c r="CO35">
        <v>434</v>
      </c>
      <c r="CP35">
        <v>33</v>
      </c>
      <c r="CQ35">
        <v>63.6705069124</v>
      </c>
      <c r="CR35">
        <v>405</v>
      </c>
      <c r="CS35">
        <v>109</v>
      </c>
      <c r="CT35">
        <v>81.792592592600002</v>
      </c>
      <c r="CU35">
        <v>80.807339449500006</v>
      </c>
      <c r="CW35" t="s">
        <v>371</v>
      </c>
      <c r="CX35" t="s">
        <v>841</v>
      </c>
      <c r="CY35" t="s">
        <v>846</v>
      </c>
      <c r="CZ35">
        <v>88</v>
      </c>
      <c r="DA35">
        <v>15</v>
      </c>
      <c r="DB35">
        <v>88.772727272699996</v>
      </c>
      <c r="DC35">
        <v>52</v>
      </c>
      <c r="DD35">
        <v>15</v>
      </c>
      <c r="DE35">
        <v>135.07692307689999</v>
      </c>
      <c r="DF35">
        <v>130.46666666670001</v>
      </c>
      <c r="DH35" t="s">
        <v>371</v>
      </c>
      <c r="DI35" t="s">
        <v>809</v>
      </c>
      <c r="DJ35" t="s">
        <v>814</v>
      </c>
      <c r="DK35">
        <v>55</v>
      </c>
      <c r="DL35">
        <v>12</v>
      </c>
      <c r="DM35">
        <v>94.872727272700004</v>
      </c>
      <c r="DN35">
        <v>23</v>
      </c>
      <c r="DO35">
        <v>4</v>
      </c>
      <c r="DP35">
        <v>115.3913043478</v>
      </c>
      <c r="DQ35">
        <v>71.75</v>
      </c>
    </row>
    <row r="36" spans="2:121" x14ac:dyDescent="0.2">
      <c r="B36" t="s">
        <v>92</v>
      </c>
      <c r="C36">
        <v>3</v>
      </c>
      <c r="D36">
        <v>1</v>
      </c>
      <c r="F36" t="s">
        <v>50</v>
      </c>
      <c r="G36">
        <v>2183</v>
      </c>
      <c r="H36">
        <v>240.26981218509999</v>
      </c>
      <c r="I36">
        <v>2330</v>
      </c>
      <c r="J36">
        <v>339</v>
      </c>
      <c r="K36">
        <v>3388</v>
      </c>
      <c r="L36">
        <v>2143</v>
      </c>
      <c r="M36">
        <v>485</v>
      </c>
      <c r="N36">
        <v>119</v>
      </c>
      <c r="O36">
        <v>1063</v>
      </c>
      <c r="P36">
        <v>817</v>
      </c>
      <c r="Q36">
        <v>1</v>
      </c>
      <c r="R36">
        <v>11</v>
      </c>
      <c r="T36" t="s">
        <v>646</v>
      </c>
      <c r="U36" t="s">
        <v>305</v>
      </c>
      <c r="V36" t="s">
        <v>136</v>
      </c>
      <c r="W36" t="s">
        <v>217</v>
      </c>
      <c r="X36" t="s">
        <v>459</v>
      </c>
      <c r="Y36" t="s">
        <v>219</v>
      </c>
      <c r="Z36" t="s">
        <v>220</v>
      </c>
      <c r="AA36" t="s">
        <v>221</v>
      </c>
      <c r="AB36" t="s">
        <v>460</v>
      </c>
      <c r="AC36" t="s">
        <v>223</v>
      </c>
      <c r="AD36" t="s">
        <v>224</v>
      </c>
      <c r="AE36" t="s">
        <v>225</v>
      </c>
      <c r="AF36" t="s">
        <v>226</v>
      </c>
      <c r="AH36" t="s">
        <v>382</v>
      </c>
      <c r="AI36">
        <v>16215</v>
      </c>
      <c r="AJ36">
        <v>322.70009250689998</v>
      </c>
      <c r="AK36">
        <v>17767</v>
      </c>
      <c r="AL36">
        <v>4454</v>
      </c>
      <c r="AM36">
        <v>22242</v>
      </c>
      <c r="AN36">
        <v>14674</v>
      </c>
      <c r="AO36">
        <v>8592</v>
      </c>
      <c r="AP36">
        <v>5174</v>
      </c>
      <c r="AQ36">
        <v>5974</v>
      </c>
      <c r="AR36">
        <v>3860</v>
      </c>
      <c r="AS36">
        <v>1164</v>
      </c>
      <c r="AT36">
        <v>35</v>
      </c>
      <c r="AV36" t="s">
        <v>383</v>
      </c>
      <c r="AW36">
        <v>893</v>
      </c>
      <c r="AX36">
        <v>106.9652855543</v>
      </c>
      <c r="AY36">
        <v>962</v>
      </c>
      <c r="AZ36">
        <v>223</v>
      </c>
      <c r="BA36">
        <v>1226</v>
      </c>
      <c r="BB36">
        <v>438</v>
      </c>
      <c r="BC36">
        <v>16</v>
      </c>
      <c r="BD36">
        <v>14</v>
      </c>
      <c r="BE36">
        <v>54</v>
      </c>
      <c r="BF36">
        <v>19</v>
      </c>
      <c r="BG36">
        <v>159</v>
      </c>
      <c r="BH36">
        <v>286</v>
      </c>
      <c r="BJ36" t="s">
        <v>369</v>
      </c>
      <c r="BK36" t="s">
        <v>369</v>
      </c>
      <c r="BL36">
        <v>70679</v>
      </c>
      <c r="BM36">
        <v>15676</v>
      </c>
      <c r="BN36">
        <v>94.760480482199995</v>
      </c>
      <c r="BO36">
        <v>51039</v>
      </c>
      <c r="BP36">
        <v>12796</v>
      </c>
      <c r="BQ36">
        <v>136.20388330489999</v>
      </c>
      <c r="BR36">
        <v>136.84127852450001</v>
      </c>
      <c r="BS36">
        <v>69275</v>
      </c>
      <c r="BT36">
        <v>14746</v>
      </c>
      <c r="BU36">
        <v>92.2583760375</v>
      </c>
      <c r="BV36">
        <v>50231</v>
      </c>
      <c r="BW36">
        <v>12503</v>
      </c>
      <c r="BX36">
        <v>135.0051760865</v>
      </c>
      <c r="BY36">
        <v>135.63648724309999</v>
      </c>
      <c r="CA36" t="s">
        <v>415</v>
      </c>
      <c r="CB36" t="s">
        <v>856</v>
      </c>
      <c r="CC36" t="s">
        <v>986</v>
      </c>
      <c r="CD36">
        <v>1253</v>
      </c>
      <c r="CE36">
        <v>263</v>
      </c>
      <c r="CF36">
        <v>95.987230646399993</v>
      </c>
      <c r="CG36">
        <v>920</v>
      </c>
      <c r="CH36">
        <v>300</v>
      </c>
      <c r="CI36">
        <v>129.00652173910001</v>
      </c>
      <c r="CJ36">
        <v>126.6766666667</v>
      </c>
      <c r="CL36" t="s">
        <v>415</v>
      </c>
      <c r="CM36" t="s">
        <v>825</v>
      </c>
      <c r="CN36" t="s">
        <v>831</v>
      </c>
      <c r="CO36">
        <v>98</v>
      </c>
      <c r="CP36">
        <v>8</v>
      </c>
      <c r="CQ36">
        <v>64.724489795899999</v>
      </c>
      <c r="CR36">
        <v>93</v>
      </c>
      <c r="CS36">
        <v>20</v>
      </c>
      <c r="CT36">
        <v>85.247311827999994</v>
      </c>
      <c r="CU36">
        <v>93.05</v>
      </c>
      <c r="CW36" t="s">
        <v>415</v>
      </c>
      <c r="CX36" t="s">
        <v>841</v>
      </c>
      <c r="CY36" t="s">
        <v>847</v>
      </c>
      <c r="CZ36">
        <v>28</v>
      </c>
      <c r="DA36">
        <v>5</v>
      </c>
      <c r="DB36">
        <v>79.214285714300004</v>
      </c>
      <c r="DC36">
        <v>7</v>
      </c>
      <c r="DD36">
        <v>2</v>
      </c>
      <c r="DE36">
        <v>137.28571428570001</v>
      </c>
      <c r="DF36">
        <v>123</v>
      </c>
      <c r="DH36" t="s">
        <v>415</v>
      </c>
      <c r="DI36" t="s">
        <v>809</v>
      </c>
      <c r="DJ36" t="s">
        <v>815</v>
      </c>
      <c r="DK36">
        <v>22</v>
      </c>
      <c r="DL36">
        <v>4</v>
      </c>
      <c r="DM36">
        <v>79.5</v>
      </c>
      <c r="DN36">
        <v>12</v>
      </c>
      <c r="DO36">
        <v>2</v>
      </c>
      <c r="DP36">
        <v>138.75</v>
      </c>
      <c r="DQ36">
        <v>63</v>
      </c>
    </row>
    <row r="37" spans="2:121" x14ac:dyDescent="0.2">
      <c r="B37" t="s">
        <v>98</v>
      </c>
      <c r="C37">
        <v>1030</v>
      </c>
      <c r="D37">
        <v>608</v>
      </c>
      <c r="F37" t="s">
        <v>85</v>
      </c>
      <c r="G37">
        <v>615</v>
      </c>
      <c r="H37">
        <v>374.68617886179999</v>
      </c>
      <c r="I37">
        <v>712</v>
      </c>
      <c r="J37">
        <v>215</v>
      </c>
      <c r="K37">
        <v>671</v>
      </c>
      <c r="L37">
        <v>532</v>
      </c>
      <c r="M37">
        <v>51</v>
      </c>
      <c r="N37">
        <v>13</v>
      </c>
      <c r="O37">
        <v>139</v>
      </c>
      <c r="P37">
        <v>66</v>
      </c>
      <c r="Q37">
        <v>0</v>
      </c>
      <c r="R37">
        <v>0</v>
      </c>
      <c r="T37" t="s">
        <v>390</v>
      </c>
      <c r="U37">
        <v>2177</v>
      </c>
      <c r="V37">
        <v>53.860358291200001</v>
      </c>
      <c r="W37">
        <v>6036</v>
      </c>
      <c r="X37">
        <v>458</v>
      </c>
      <c r="Y37">
        <v>3593</v>
      </c>
      <c r="Z37">
        <v>208</v>
      </c>
      <c r="AA37">
        <v>18</v>
      </c>
      <c r="AB37">
        <v>11</v>
      </c>
      <c r="AC37">
        <v>266</v>
      </c>
      <c r="AD37">
        <v>70</v>
      </c>
      <c r="AE37">
        <v>1856</v>
      </c>
      <c r="AF37">
        <v>519</v>
      </c>
      <c r="AH37" t="s">
        <v>419</v>
      </c>
      <c r="AI37">
        <v>171</v>
      </c>
      <c r="AJ37">
        <v>306.63157894739999</v>
      </c>
      <c r="AK37">
        <v>644</v>
      </c>
      <c r="AL37">
        <v>104</v>
      </c>
      <c r="AM37">
        <v>333</v>
      </c>
      <c r="AN37">
        <v>147</v>
      </c>
      <c r="AO37">
        <v>120</v>
      </c>
      <c r="AP37">
        <v>57</v>
      </c>
      <c r="AQ37">
        <v>143</v>
      </c>
      <c r="AR37">
        <v>72</v>
      </c>
      <c r="AS37">
        <v>0</v>
      </c>
      <c r="AT37">
        <v>0</v>
      </c>
      <c r="AV37" t="s">
        <v>391</v>
      </c>
      <c r="AW37">
        <v>438</v>
      </c>
      <c r="AX37">
        <v>56.1164383562</v>
      </c>
      <c r="AY37">
        <v>1284</v>
      </c>
      <c r="AZ37">
        <v>115</v>
      </c>
      <c r="BA37">
        <v>751</v>
      </c>
      <c r="BB37">
        <v>48</v>
      </c>
      <c r="BC37">
        <v>8</v>
      </c>
      <c r="BD37">
        <v>3</v>
      </c>
      <c r="BE37">
        <v>56</v>
      </c>
      <c r="BF37">
        <v>10</v>
      </c>
      <c r="BG37">
        <v>124</v>
      </c>
      <c r="BH37">
        <v>110</v>
      </c>
      <c r="BJ37" t="s">
        <v>526</v>
      </c>
      <c r="BK37" t="s">
        <v>369</v>
      </c>
      <c r="BL37">
        <v>7594</v>
      </c>
      <c r="BM37">
        <v>2136</v>
      </c>
      <c r="BN37">
        <v>109.44390308139999</v>
      </c>
      <c r="BO37">
        <v>5457</v>
      </c>
      <c r="BP37">
        <v>1443</v>
      </c>
      <c r="BQ37">
        <v>157.35019241340001</v>
      </c>
      <c r="BR37">
        <v>150.95426195429999</v>
      </c>
      <c r="BS37">
        <v>7729</v>
      </c>
      <c r="BT37">
        <v>2184</v>
      </c>
      <c r="BU37">
        <v>109.4318799327</v>
      </c>
      <c r="BV37">
        <v>5651</v>
      </c>
      <c r="BW37">
        <v>1494</v>
      </c>
      <c r="BX37">
        <v>156.86055565390001</v>
      </c>
      <c r="BY37">
        <v>151.15528781789999</v>
      </c>
      <c r="CA37" t="s">
        <v>374</v>
      </c>
      <c r="CB37" t="s">
        <v>856</v>
      </c>
      <c r="CC37" t="s">
        <v>987</v>
      </c>
      <c r="CD37">
        <v>4079</v>
      </c>
      <c r="CE37">
        <v>842</v>
      </c>
      <c r="CF37">
        <v>92.608727629300006</v>
      </c>
      <c r="CG37">
        <v>2869</v>
      </c>
      <c r="CH37">
        <v>643</v>
      </c>
      <c r="CI37">
        <v>143.84175670970001</v>
      </c>
      <c r="CJ37">
        <v>152.17262830480001</v>
      </c>
      <c r="CL37" t="s">
        <v>374</v>
      </c>
      <c r="CM37" t="s">
        <v>825</v>
      </c>
      <c r="CN37" t="s">
        <v>832</v>
      </c>
      <c r="CO37">
        <v>473</v>
      </c>
      <c r="CP37">
        <v>47</v>
      </c>
      <c r="CQ37">
        <v>66.372093023299996</v>
      </c>
      <c r="CR37">
        <v>437</v>
      </c>
      <c r="CS37">
        <v>102</v>
      </c>
      <c r="CT37">
        <v>77.633867276900006</v>
      </c>
      <c r="CU37">
        <v>81.882352941199997</v>
      </c>
      <c r="CW37" t="s">
        <v>374</v>
      </c>
      <c r="CX37" t="s">
        <v>841</v>
      </c>
      <c r="CY37" t="s">
        <v>848</v>
      </c>
      <c r="CZ37">
        <v>129</v>
      </c>
      <c r="DA37">
        <v>27</v>
      </c>
      <c r="DB37">
        <v>78.906976744199994</v>
      </c>
      <c r="DC37">
        <v>32</v>
      </c>
      <c r="DD37">
        <v>10</v>
      </c>
      <c r="DE37">
        <v>148.6875</v>
      </c>
      <c r="DF37">
        <v>171.4</v>
      </c>
      <c r="DH37" t="s">
        <v>374</v>
      </c>
      <c r="DI37" t="s">
        <v>809</v>
      </c>
      <c r="DJ37" t="s">
        <v>816</v>
      </c>
      <c r="DK37">
        <v>90</v>
      </c>
      <c r="DL37">
        <v>17</v>
      </c>
      <c r="DM37">
        <v>82.355555555600006</v>
      </c>
      <c r="DN37">
        <v>41</v>
      </c>
      <c r="DO37">
        <v>9</v>
      </c>
      <c r="DP37">
        <v>128.85365853659999</v>
      </c>
      <c r="DQ37">
        <v>136.6666666667</v>
      </c>
    </row>
    <row r="38" spans="2:121" x14ac:dyDescent="0.2">
      <c r="B38" t="s">
        <v>1064</v>
      </c>
      <c r="C38">
        <v>115</v>
      </c>
      <c r="D38">
        <v>112</v>
      </c>
      <c r="F38" t="s">
        <v>52</v>
      </c>
      <c r="G38">
        <v>4282</v>
      </c>
      <c r="H38">
        <v>395.98411957029998</v>
      </c>
      <c r="I38">
        <v>4134</v>
      </c>
      <c r="J38">
        <v>1134</v>
      </c>
      <c r="K38">
        <v>6521</v>
      </c>
      <c r="L38">
        <v>4454</v>
      </c>
      <c r="M38">
        <v>2126</v>
      </c>
      <c r="N38">
        <v>1662</v>
      </c>
      <c r="O38">
        <v>2113</v>
      </c>
      <c r="P38">
        <v>1761</v>
      </c>
      <c r="Q38">
        <v>39</v>
      </c>
      <c r="R38">
        <v>180</v>
      </c>
      <c r="T38" t="s">
        <v>380</v>
      </c>
      <c r="U38">
        <v>6570</v>
      </c>
      <c r="V38">
        <v>98.380821917800006</v>
      </c>
      <c r="W38">
        <v>9009</v>
      </c>
      <c r="X38">
        <v>1562</v>
      </c>
      <c r="Y38">
        <v>9341</v>
      </c>
      <c r="Z38">
        <v>2840</v>
      </c>
      <c r="AA38">
        <v>185</v>
      </c>
      <c r="AB38">
        <v>174</v>
      </c>
      <c r="AC38">
        <v>561</v>
      </c>
      <c r="AD38">
        <v>183</v>
      </c>
      <c r="AE38">
        <v>1187</v>
      </c>
      <c r="AF38">
        <v>1926</v>
      </c>
      <c r="AH38" t="s">
        <v>391</v>
      </c>
      <c r="AI38">
        <v>7512</v>
      </c>
      <c r="AJ38">
        <v>427.62127263050002</v>
      </c>
      <c r="AK38">
        <v>8969</v>
      </c>
      <c r="AL38">
        <v>2181</v>
      </c>
      <c r="AM38">
        <v>12369</v>
      </c>
      <c r="AN38">
        <v>7170</v>
      </c>
      <c r="AO38">
        <v>2044</v>
      </c>
      <c r="AP38">
        <v>1233</v>
      </c>
      <c r="AQ38">
        <v>4105</v>
      </c>
      <c r="AR38">
        <v>2012</v>
      </c>
      <c r="AS38">
        <v>704</v>
      </c>
      <c r="AT38">
        <v>330</v>
      </c>
      <c r="AV38" t="s">
        <v>396</v>
      </c>
      <c r="AW38">
        <v>168</v>
      </c>
      <c r="AX38">
        <v>46.458333333299997</v>
      </c>
      <c r="AY38">
        <v>405</v>
      </c>
      <c r="AZ38">
        <v>21</v>
      </c>
      <c r="BA38">
        <v>299</v>
      </c>
      <c r="BB38">
        <v>8</v>
      </c>
      <c r="BC38">
        <v>1</v>
      </c>
      <c r="BE38">
        <v>26</v>
      </c>
      <c r="BF38">
        <v>8</v>
      </c>
      <c r="BG38">
        <v>61</v>
      </c>
      <c r="BH38">
        <v>28</v>
      </c>
      <c r="BJ38" t="s">
        <v>529</v>
      </c>
      <c r="BK38" t="s">
        <v>369</v>
      </c>
      <c r="BL38">
        <v>4936</v>
      </c>
      <c r="BM38">
        <v>1414</v>
      </c>
      <c r="BN38">
        <v>110.07333873579999</v>
      </c>
      <c r="BO38">
        <v>2972</v>
      </c>
      <c r="BP38">
        <v>728</v>
      </c>
      <c r="BQ38">
        <v>164.2025572005</v>
      </c>
      <c r="BR38">
        <v>168.97527472530001</v>
      </c>
      <c r="BS38">
        <v>4075</v>
      </c>
      <c r="BT38">
        <v>1331</v>
      </c>
      <c r="BU38">
        <v>121.2957055215</v>
      </c>
      <c r="BV38">
        <v>2394</v>
      </c>
      <c r="BW38">
        <v>585</v>
      </c>
      <c r="BX38">
        <v>182.1040100251</v>
      </c>
      <c r="BY38">
        <v>177.8905982906</v>
      </c>
      <c r="CA38" t="s">
        <v>63</v>
      </c>
      <c r="CB38" t="s">
        <v>856</v>
      </c>
      <c r="CC38" t="s">
        <v>518</v>
      </c>
      <c r="CD38">
        <v>8539</v>
      </c>
      <c r="CE38">
        <v>1776</v>
      </c>
      <c r="CF38">
        <v>91.654760510599999</v>
      </c>
      <c r="CG38">
        <v>6160</v>
      </c>
      <c r="CH38">
        <v>1529</v>
      </c>
      <c r="CI38">
        <v>139.0173701299</v>
      </c>
      <c r="CJ38">
        <v>135.72400261609999</v>
      </c>
      <c r="CL38" t="s">
        <v>63</v>
      </c>
      <c r="CM38" t="s">
        <v>825</v>
      </c>
      <c r="CN38" t="s">
        <v>833</v>
      </c>
      <c r="CO38">
        <v>1259</v>
      </c>
      <c r="CP38">
        <v>109</v>
      </c>
      <c r="CQ38">
        <v>67.536139793499999</v>
      </c>
      <c r="CR38">
        <v>1076</v>
      </c>
      <c r="CS38">
        <v>291</v>
      </c>
      <c r="CT38">
        <v>81.615241635700002</v>
      </c>
      <c r="CU38">
        <v>87.632302405499999</v>
      </c>
      <c r="CW38" t="s">
        <v>63</v>
      </c>
      <c r="CX38" t="s">
        <v>841</v>
      </c>
      <c r="CY38" t="s">
        <v>849</v>
      </c>
      <c r="CZ38">
        <v>257</v>
      </c>
      <c r="DA38">
        <v>44</v>
      </c>
      <c r="DB38">
        <v>80.7159533074</v>
      </c>
      <c r="DC38">
        <v>105</v>
      </c>
      <c r="DD38">
        <v>32</v>
      </c>
      <c r="DE38">
        <v>120.7904761905</v>
      </c>
      <c r="DF38">
        <v>132.0625</v>
      </c>
      <c r="DH38" t="s">
        <v>63</v>
      </c>
      <c r="DI38" t="s">
        <v>809</v>
      </c>
      <c r="DJ38" t="s">
        <v>817</v>
      </c>
      <c r="DK38">
        <v>149</v>
      </c>
      <c r="DL38">
        <v>29</v>
      </c>
      <c r="DM38">
        <v>85.275167785199997</v>
      </c>
      <c r="DN38">
        <v>75</v>
      </c>
      <c r="DO38">
        <v>23</v>
      </c>
      <c r="DP38">
        <v>142.98666666669999</v>
      </c>
      <c r="DQ38">
        <v>141.82608695650001</v>
      </c>
    </row>
    <row r="39" spans="2:121" x14ac:dyDescent="0.2">
      <c r="B39" t="s">
        <v>118</v>
      </c>
      <c r="C39">
        <v>3406</v>
      </c>
      <c r="D39">
        <v>1158</v>
      </c>
      <c r="F39" t="s">
        <v>55</v>
      </c>
      <c r="G39">
        <v>7725</v>
      </c>
      <c r="H39">
        <v>368.46770226540002</v>
      </c>
      <c r="I39">
        <v>8958</v>
      </c>
      <c r="J39">
        <v>1847</v>
      </c>
      <c r="K39">
        <v>9251</v>
      </c>
      <c r="L39">
        <v>6075</v>
      </c>
      <c r="M39">
        <v>1053</v>
      </c>
      <c r="N39">
        <v>887</v>
      </c>
      <c r="O39">
        <v>4085</v>
      </c>
      <c r="P39">
        <v>3452</v>
      </c>
      <c r="Q39">
        <v>2</v>
      </c>
      <c r="R39">
        <v>29</v>
      </c>
      <c r="T39" t="s">
        <v>369</v>
      </c>
      <c r="U39">
        <v>7048</v>
      </c>
      <c r="V39">
        <v>100.9233825199</v>
      </c>
      <c r="W39">
        <v>10845</v>
      </c>
      <c r="X39">
        <v>2195</v>
      </c>
      <c r="Y39">
        <v>9825</v>
      </c>
      <c r="Z39">
        <v>3332</v>
      </c>
      <c r="AA39">
        <v>356</v>
      </c>
      <c r="AB39">
        <v>345</v>
      </c>
      <c r="AC39">
        <v>662</v>
      </c>
      <c r="AD39">
        <v>199</v>
      </c>
      <c r="AE39">
        <v>1239</v>
      </c>
      <c r="AF39">
        <v>2506</v>
      </c>
      <c r="AH39" t="s">
        <v>412</v>
      </c>
      <c r="AI39">
        <v>3252</v>
      </c>
      <c r="AJ39">
        <v>321.97601476009999</v>
      </c>
      <c r="AK39">
        <v>6296</v>
      </c>
      <c r="AL39">
        <v>1015</v>
      </c>
      <c r="AM39">
        <v>5086</v>
      </c>
      <c r="AN39">
        <v>2644</v>
      </c>
      <c r="AO39">
        <v>1661</v>
      </c>
      <c r="AP39">
        <v>768</v>
      </c>
      <c r="AQ39">
        <v>2210</v>
      </c>
      <c r="AR39">
        <v>998</v>
      </c>
      <c r="AS39">
        <v>7</v>
      </c>
      <c r="AT39">
        <v>60</v>
      </c>
      <c r="AV39" t="s">
        <v>414</v>
      </c>
      <c r="AW39">
        <v>48</v>
      </c>
      <c r="AX39">
        <v>105.2708333333</v>
      </c>
      <c r="AY39">
        <v>68</v>
      </c>
      <c r="AZ39">
        <v>8</v>
      </c>
      <c r="BA39">
        <v>62</v>
      </c>
      <c r="BB39">
        <v>25</v>
      </c>
      <c r="BC39">
        <v>4</v>
      </c>
      <c r="BD39">
        <v>4</v>
      </c>
      <c r="BE39">
        <v>4</v>
      </c>
      <c r="BF39">
        <v>2</v>
      </c>
      <c r="BG39">
        <v>15</v>
      </c>
      <c r="BH39">
        <v>17</v>
      </c>
      <c r="BJ39" t="s">
        <v>514</v>
      </c>
      <c r="BK39" t="s">
        <v>369</v>
      </c>
      <c r="BL39">
        <v>2444</v>
      </c>
      <c r="BM39">
        <v>376</v>
      </c>
      <c r="BN39">
        <v>76.1219312602</v>
      </c>
      <c r="BO39">
        <v>4367</v>
      </c>
      <c r="BP39">
        <v>1132</v>
      </c>
      <c r="BQ39">
        <v>52.051064804200003</v>
      </c>
      <c r="BR39">
        <v>56.441696113100001</v>
      </c>
      <c r="BS39">
        <v>3704</v>
      </c>
      <c r="BT39">
        <v>995</v>
      </c>
      <c r="BU39">
        <v>97.475431965400006</v>
      </c>
      <c r="BV39">
        <v>5376</v>
      </c>
      <c r="BW39">
        <v>1423</v>
      </c>
      <c r="BX39">
        <v>80.153645833300004</v>
      </c>
      <c r="BY39">
        <v>82.211524947300006</v>
      </c>
      <c r="CA39" t="s">
        <v>382</v>
      </c>
      <c r="CB39" t="s">
        <v>856</v>
      </c>
      <c r="CC39" t="s">
        <v>988</v>
      </c>
      <c r="CD39">
        <v>16208</v>
      </c>
      <c r="CE39">
        <v>4063</v>
      </c>
      <c r="CF39">
        <v>98.777208785799999</v>
      </c>
      <c r="CG39">
        <v>11546</v>
      </c>
      <c r="CH39">
        <v>3085</v>
      </c>
      <c r="CI39">
        <v>143.22362723020001</v>
      </c>
      <c r="CJ39">
        <v>137.30048622370001</v>
      </c>
      <c r="CL39" t="s">
        <v>382</v>
      </c>
      <c r="CM39" t="s">
        <v>825</v>
      </c>
      <c r="CN39" t="s">
        <v>834</v>
      </c>
      <c r="CO39">
        <v>1181</v>
      </c>
      <c r="CP39">
        <v>122</v>
      </c>
      <c r="CQ39">
        <v>66.250635055000004</v>
      </c>
      <c r="CR39">
        <v>1049</v>
      </c>
      <c r="CS39">
        <v>288</v>
      </c>
      <c r="CT39">
        <v>81.533841754099996</v>
      </c>
      <c r="CU39">
        <v>88.020833333300004</v>
      </c>
      <c r="CW39" t="s">
        <v>382</v>
      </c>
      <c r="CX39" t="s">
        <v>841</v>
      </c>
      <c r="CY39" t="s">
        <v>850</v>
      </c>
      <c r="CZ39">
        <v>666</v>
      </c>
      <c r="DA39">
        <v>140</v>
      </c>
      <c r="DB39">
        <v>84.846846846800005</v>
      </c>
      <c r="DC39">
        <v>238</v>
      </c>
      <c r="DD39">
        <v>64</v>
      </c>
      <c r="DE39">
        <v>146.65546218489999</v>
      </c>
      <c r="DF39">
        <v>148.234375</v>
      </c>
      <c r="DH39" t="s">
        <v>382</v>
      </c>
      <c r="DI39" t="s">
        <v>809</v>
      </c>
      <c r="DJ39" t="s">
        <v>818</v>
      </c>
      <c r="DK39">
        <v>1276</v>
      </c>
      <c r="DL39">
        <v>250</v>
      </c>
      <c r="DM39">
        <v>83.246865203799999</v>
      </c>
      <c r="DN39">
        <v>399</v>
      </c>
      <c r="DO39">
        <v>95</v>
      </c>
      <c r="DP39">
        <v>141.01754385960001</v>
      </c>
      <c r="DQ39">
        <v>144.4</v>
      </c>
    </row>
    <row r="40" spans="2:121" x14ac:dyDescent="0.2">
      <c r="B40" t="s">
        <v>102</v>
      </c>
      <c r="C40">
        <v>15524</v>
      </c>
      <c r="D40">
        <v>1691</v>
      </c>
      <c r="F40" t="s">
        <v>63</v>
      </c>
      <c r="G40">
        <v>4464</v>
      </c>
      <c r="H40">
        <v>305.13754480289998</v>
      </c>
      <c r="I40">
        <v>4656</v>
      </c>
      <c r="J40">
        <v>1110</v>
      </c>
      <c r="K40">
        <v>6043</v>
      </c>
      <c r="L40">
        <v>4145</v>
      </c>
      <c r="M40">
        <v>3740</v>
      </c>
      <c r="N40">
        <v>3102</v>
      </c>
      <c r="O40">
        <v>807</v>
      </c>
      <c r="P40">
        <v>197</v>
      </c>
      <c r="Q40">
        <v>0</v>
      </c>
      <c r="R40">
        <v>1</v>
      </c>
      <c r="T40" t="s">
        <v>8</v>
      </c>
      <c r="U40">
        <v>140</v>
      </c>
      <c r="V40">
        <v>107.35</v>
      </c>
      <c r="W40">
        <v>201</v>
      </c>
      <c r="X40">
        <v>84</v>
      </c>
      <c r="Y40">
        <v>298</v>
      </c>
      <c r="Z40">
        <v>161</v>
      </c>
      <c r="AA40">
        <v>13</v>
      </c>
      <c r="AB40">
        <v>10</v>
      </c>
      <c r="AC40">
        <v>9</v>
      </c>
      <c r="AD40">
        <v>6</v>
      </c>
      <c r="AE40">
        <v>44</v>
      </c>
      <c r="AF40">
        <v>16</v>
      </c>
      <c r="AH40" t="s">
        <v>409</v>
      </c>
      <c r="AI40">
        <v>8449</v>
      </c>
      <c r="AJ40">
        <v>412.86329743160002</v>
      </c>
      <c r="AK40">
        <v>4851</v>
      </c>
      <c r="AL40">
        <v>1203</v>
      </c>
      <c r="AM40">
        <v>11469</v>
      </c>
      <c r="AN40">
        <v>8288</v>
      </c>
      <c r="AO40">
        <v>3453</v>
      </c>
      <c r="AP40">
        <v>2700</v>
      </c>
      <c r="AQ40">
        <v>2500</v>
      </c>
      <c r="AR40">
        <v>1219</v>
      </c>
      <c r="AS40">
        <v>5</v>
      </c>
      <c r="AT40">
        <v>74</v>
      </c>
      <c r="AV40" t="s">
        <v>411</v>
      </c>
      <c r="AW40">
        <v>143</v>
      </c>
      <c r="AX40">
        <v>51.783216783199997</v>
      </c>
      <c r="AY40">
        <v>288</v>
      </c>
      <c r="AZ40">
        <v>25</v>
      </c>
      <c r="BA40">
        <v>247</v>
      </c>
      <c r="BB40">
        <v>19</v>
      </c>
      <c r="BC40">
        <v>5</v>
      </c>
      <c r="BD40">
        <v>4</v>
      </c>
      <c r="BE40">
        <v>19</v>
      </c>
      <c r="BF40">
        <v>2</v>
      </c>
      <c r="BG40">
        <v>70</v>
      </c>
      <c r="BH40">
        <v>27</v>
      </c>
      <c r="BJ40" t="s">
        <v>535</v>
      </c>
      <c r="BK40" t="s">
        <v>369</v>
      </c>
      <c r="BL40">
        <v>11119</v>
      </c>
      <c r="BM40">
        <v>2017</v>
      </c>
      <c r="BN40">
        <v>87.865185718099994</v>
      </c>
      <c r="BO40">
        <v>6754</v>
      </c>
      <c r="BP40">
        <v>1628</v>
      </c>
      <c r="BQ40">
        <v>146.19529167900001</v>
      </c>
      <c r="BR40">
        <v>154.41216216219999</v>
      </c>
      <c r="BS40">
        <v>11019</v>
      </c>
      <c r="BT40">
        <v>1881</v>
      </c>
      <c r="BU40">
        <v>85.189400127100001</v>
      </c>
      <c r="BV40">
        <v>7054</v>
      </c>
      <c r="BW40">
        <v>1587</v>
      </c>
      <c r="BX40">
        <v>139.93294584629999</v>
      </c>
      <c r="BY40">
        <v>148.7385003151</v>
      </c>
      <c r="CA40" t="s">
        <v>375</v>
      </c>
      <c r="CB40" t="s">
        <v>856</v>
      </c>
      <c r="CC40" t="s">
        <v>989</v>
      </c>
      <c r="CD40">
        <v>9139</v>
      </c>
      <c r="CE40">
        <v>2356</v>
      </c>
      <c r="CF40">
        <v>102.7574132837</v>
      </c>
      <c r="CG40">
        <v>6705</v>
      </c>
      <c r="CH40">
        <v>1693</v>
      </c>
      <c r="CI40">
        <v>149.2811334825</v>
      </c>
      <c r="CJ40">
        <v>145.5924394566</v>
      </c>
      <c r="CL40" t="s">
        <v>375</v>
      </c>
      <c r="CM40" t="s">
        <v>825</v>
      </c>
      <c r="CN40" t="s">
        <v>835</v>
      </c>
      <c r="CO40">
        <v>1522</v>
      </c>
      <c r="CP40">
        <v>140</v>
      </c>
      <c r="CQ40">
        <v>66.028252299599998</v>
      </c>
      <c r="CR40">
        <v>1266</v>
      </c>
      <c r="CS40">
        <v>338</v>
      </c>
      <c r="CT40">
        <v>80.583728277999995</v>
      </c>
      <c r="CU40">
        <v>76.026627218900003</v>
      </c>
      <c r="CW40" t="s">
        <v>375</v>
      </c>
      <c r="CX40" t="s">
        <v>841</v>
      </c>
      <c r="CY40" t="s">
        <v>851</v>
      </c>
      <c r="CZ40">
        <v>199</v>
      </c>
      <c r="DA40">
        <v>35</v>
      </c>
      <c r="DB40">
        <v>85.0201005025</v>
      </c>
      <c r="DC40">
        <v>94</v>
      </c>
      <c r="DD40">
        <v>30</v>
      </c>
      <c r="DE40">
        <v>131.57446808509999</v>
      </c>
      <c r="DF40">
        <v>143.36666666670001</v>
      </c>
      <c r="DH40" t="s">
        <v>375</v>
      </c>
      <c r="DI40" t="s">
        <v>809</v>
      </c>
      <c r="DJ40" t="s">
        <v>819</v>
      </c>
      <c r="DK40">
        <v>134</v>
      </c>
      <c r="DL40">
        <v>26</v>
      </c>
      <c r="DM40">
        <v>85.305970149299995</v>
      </c>
      <c r="DN40">
        <v>85</v>
      </c>
      <c r="DO40">
        <v>26</v>
      </c>
      <c r="DP40">
        <v>127.8352941176</v>
      </c>
      <c r="DQ40">
        <v>143.26923076919999</v>
      </c>
    </row>
    <row r="41" spans="2:121" x14ac:dyDescent="0.2">
      <c r="B41" t="s">
        <v>127</v>
      </c>
      <c r="C41">
        <v>324</v>
      </c>
      <c r="D41">
        <v>149</v>
      </c>
      <c r="F41" t="s">
        <v>25</v>
      </c>
      <c r="G41">
        <v>13418</v>
      </c>
      <c r="H41">
        <v>349.13839618420002</v>
      </c>
      <c r="I41">
        <v>17226</v>
      </c>
      <c r="J41">
        <v>4179</v>
      </c>
      <c r="K41">
        <v>19077</v>
      </c>
      <c r="L41">
        <v>13482</v>
      </c>
      <c r="M41">
        <v>7431</v>
      </c>
      <c r="N41">
        <v>4873</v>
      </c>
      <c r="O41">
        <v>10785</v>
      </c>
      <c r="P41">
        <v>8360</v>
      </c>
      <c r="Q41">
        <v>62</v>
      </c>
      <c r="R41">
        <v>5</v>
      </c>
      <c r="T41" t="s">
        <v>385</v>
      </c>
      <c r="U41">
        <v>1411</v>
      </c>
      <c r="V41">
        <v>48.352941176500003</v>
      </c>
      <c r="W41">
        <v>3395</v>
      </c>
      <c r="X41">
        <v>142</v>
      </c>
      <c r="Y41">
        <v>2319</v>
      </c>
      <c r="Z41">
        <v>152</v>
      </c>
      <c r="AA41">
        <v>23</v>
      </c>
      <c r="AB41">
        <v>19</v>
      </c>
      <c r="AC41">
        <v>174</v>
      </c>
      <c r="AD41">
        <v>61</v>
      </c>
      <c r="AE41">
        <v>2421</v>
      </c>
      <c r="AF41">
        <v>417</v>
      </c>
      <c r="AH41" t="s">
        <v>8</v>
      </c>
      <c r="AI41">
        <v>4335</v>
      </c>
      <c r="AJ41">
        <v>382.12987312569999</v>
      </c>
      <c r="AK41">
        <v>4227</v>
      </c>
      <c r="AL41">
        <v>1688</v>
      </c>
      <c r="AM41">
        <v>5965</v>
      </c>
      <c r="AN41">
        <v>3922</v>
      </c>
      <c r="AO41">
        <v>1468</v>
      </c>
      <c r="AP41">
        <v>794</v>
      </c>
      <c r="AQ41">
        <v>1831</v>
      </c>
      <c r="AR41">
        <v>1147</v>
      </c>
      <c r="AS41">
        <v>414</v>
      </c>
      <c r="AT41">
        <v>131</v>
      </c>
      <c r="AV41" t="s">
        <v>410</v>
      </c>
      <c r="AW41">
        <v>573</v>
      </c>
      <c r="AX41">
        <v>44.821989528800003</v>
      </c>
      <c r="AY41">
        <v>1475</v>
      </c>
      <c r="AZ41">
        <v>42</v>
      </c>
      <c r="BA41">
        <v>1015</v>
      </c>
      <c r="BB41">
        <v>60</v>
      </c>
      <c r="BC41">
        <v>10</v>
      </c>
      <c r="BD41">
        <v>8</v>
      </c>
      <c r="BE41">
        <v>56</v>
      </c>
      <c r="BF41">
        <v>30</v>
      </c>
      <c r="BG41">
        <v>1183</v>
      </c>
      <c r="BH41">
        <v>215</v>
      </c>
      <c r="BJ41" t="s">
        <v>627</v>
      </c>
      <c r="BK41" t="s">
        <v>369</v>
      </c>
      <c r="BL41">
        <v>1226</v>
      </c>
      <c r="BM41">
        <v>144</v>
      </c>
      <c r="BN41">
        <v>71.402120717800003</v>
      </c>
      <c r="BO41">
        <v>1093</v>
      </c>
      <c r="BP41">
        <v>252</v>
      </c>
      <c r="BQ41">
        <v>106.27996340350001</v>
      </c>
      <c r="BR41">
        <v>103.4087301587</v>
      </c>
      <c r="BS41">
        <v>5871</v>
      </c>
      <c r="BT41">
        <v>1091</v>
      </c>
      <c r="BU41">
        <v>90.736331119100001</v>
      </c>
      <c r="BV41">
        <v>3995</v>
      </c>
      <c r="BW41">
        <v>952</v>
      </c>
      <c r="BX41">
        <v>132.409261577</v>
      </c>
      <c r="BY41">
        <v>141.29096638659999</v>
      </c>
      <c r="CA41" t="s">
        <v>372</v>
      </c>
      <c r="CB41" t="s">
        <v>856</v>
      </c>
      <c r="CC41" t="s">
        <v>990</v>
      </c>
      <c r="CD41">
        <v>892</v>
      </c>
      <c r="CE41">
        <v>166</v>
      </c>
      <c r="CF41">
        <v>89.645739910299994</v>
      </c>
      <c r="CG41">
        <v>704</v>
      </c>
      <c r="CH41">
        <v>188</v>
      </c>
      <c r="CI41">
        <v>110.8565340909</v>
      </c>
      <c r="CJ41">
        <v>108.18085106380001</v>
      </c>
      <c r="CL41" t="s">
        <v>372</v>
      </c>
      <c r="CM41" t="s">
        <v>825</v>
      </c>
      <c r="CN41" t="s">
        <v>836</v>
      </c>
      <c r="CO41">
        <v>107</v>
      </c>
      <c r="CP41">
        <v>15</v>
      </c>
      <c r="CQ41">
        <v>71.588785046699996</v>
      </c>
      <c r="CR41">
        <v>113</v>
      </c>
      <c r="CS41">
        <v>26</v>
      </c>
      <c r="CT41">
        <v>88.203539823</v>
      </c>
      <c r="CU41">
        <v>101.80769230769999</v>
      </c>
      <c r="CW41" t="s">
        <v>372</v>
      </c>
      <c r="CX41" t="s">
        <v>841</v>
      </c>
      <c r="CY41" t="s">
        <v>852</v>
      </c>
      <c r="CZ41">
        <v>10</v>
      </c>
      <c r="DA41">
        <v>2</v>
      </c>
      <c r="DB41">
        <v>88.3</v>
      </c>
      <c r="DC41">
        <v>7</v>
      </c>
      <c r="DD41">
        <v>4</v>
      </c>
      <c r="DE41">
        <v>158.1428571429</v>
      </c>
      <c r="DF41">
        <v>146.75</v>
      </c>
      <c r="DH41" t="s">
        <v>372</v>
      </c>
      <c r="DI41" t="s">
        <v>809</v>
      </c>
      <c r="DJ41" t="s">
        <v>820</v>
      </c>
      <c r="DK41">
        <v>10</v>
      </c>
      <c r="DL41">
        <v>1</v>
      </c>
      <c r="DM41">
        <v>80.599999999999994</v>
      </c>
      <c r="DN41">
        <v>8</v>
      </c>
      <c r="DO41">
        <v>2</v>
      </c>
      <c r="DP41">
        <v>111.5</v>
      </c>
      <c r="DQ41">
        <v>93.5</v>
      </c>
    </row>
    <row r="42" spans="2:121" x14ac:dyDescent="0.2">
      <c r="B42" t="s">
        <v>108</v>
      </c>
      <c r="C42">
        <v>7119</v>
      </c>
      <c r="D42">
        <v>5615</v>
      </c>
      <c r="F42" t="s">
        <v>78</v>
      </c>
      <c r="G42">
        <v>4893</v>
      </c>
      <c r="H42">
        <v>258.9172286941</v>
      </c>
      <c r="I42">
        <v>6079</v>
      </c>
      <c r="J42">
        <v>892</v>
      </c>
      <c r="K42">
        <v>6896</v>
      </c>
      <c r="L42">
        <v>4437</v>
      </c>
      <c r="M42">
        <v>2629</v>
      </c>
      <c r="N42">
        <v>2047</v>
      </c>
      <c r="O42">
        <v>5472</v>
      </c>
      <c r="P42">
        <v>4738</v>
      </c>
      <c r="Q42">
        <v>0</v>
      </c>
      <c r="R42">
        <v>62</v>
      </c>
      <c r="T42" t="s">
        <v>404</v>
      </c>
      <c r="U42">
        <v>1239</v>
      </c>
      <c r="V42">
        <v>43.794995964500004</v>
      </c>
      <c r="W42">
        <v>3608</v>
      </c>
      <c r="X42">
        <v>139</v>
      </c>
      <c r="Y42">
        <v>1943</v>
      </c>
      <c r="Z42">
        <v>103</v>
      </c>
      <c r="AA42">
        <v>17</v>
      </c>
      <c r="AB42">
        <v>14</v>
      </c>
      <c r="AC42">
        <v>126</v>
      </c>
      <c r="AD42">
        <v>52</v>
      </c>
      <c r="AE42">
        <v>2583</v>
      </c>
      <c r="AF42">
        <v>416</v>
      </c>
      <c r="AH42" t="s">
        <v>375</v>
      </c>
      <c r="AI42">
        <v>8250</v>
      </c>
      <c r="AJ42">
        <v>433.99272727269999</v>
      </c>
      <c r="AK42">
        <v>9472</v>
      </c>
      <c r="AL42">
        <v>2440</v>
      </c>
      <c r="AM42">
        <v>12579</v>
      </c>
      <c r="AN42">
        <v>8760</v>
      </c>
      <c r="AO42">
        <v>2163</v>
      </c>
      <c r="AP42">
        <v>1304</v>
      </c>
      <c r="AQ42">
        <v>6261</v>
      </c>
      <c r="AR42">
        <v>5018</v>
      </c>
      <c r="AS42">
        <v>1396</v>
      </c>
      <c r="AT42">
        <v>10</v>
      </c>
      <c r="AV42" t="s">
        <v>63</v>
      </c>
      <c r="AW42">
        <v>1209</v>
      </c>
      <c r="AX42">
        <v>100.6104218362</v>
      </c>
      <c r="AY42">
        <v>2308</v>
      </c>
      <c r="AZ42">
        <v>480</v>
      </c>
      <c r="BA42">
        <v>1732</v>
      </c>
      <c r="BB42">
        <v>582</v>
      </c>
      <c r="BC42">
        <v>42</v>
      </c>
      <c r="BD42">
        <v>41</v>
      </c>
      <c r="BE42">
        <v>92</v>
      </c>
      <c r="BF42">
        <v>34</v>
      </c>
      <c r="BG42">
        <v>181</v>
      </c>
      <c r="BH42">
        <v>390</v>
      </c>
      <c r="BJ42" t="s">
        <v>629</v>
      </c>
      <c r="BK42" t="s">
        <v>369</v>
      </c>
      <c r="BL42">
        <v>564</v>
      </c>
      <c r="BM42">
        <v>126</v>
      </c>
      <c r="BN42">
        <v>90.952127659599995</v>
      </c>
      <c r="BO42">
        <v>193</v>
      </c>
      <c r="BP42">
        <v>71</v>
      </c>
      <c r="BQ42">
        <v>137.19170984460001</v>
      </c>
      <c r="BR42">
        <v>152.54929577460001</v>
      </c>
      <c r="BS42">
        <v>661</v>
      </c>
      <c r="BT42">
        <v>240</v>
      </c>
      <c r="BU42">
        <v>116.13615733739999</v>
      </c>
      <c r="BV42">
        <v>374</v>
      </c>
      <c r="BW42">
        <v>101</v>
      </c>
      <c r="BX42">
        <v>169.98395721930001</v>
      </c>
      <c r="BY42">
        <v>177.46534653469999</v>
      </c>
      <c r="CA42" t="s">
        <v>417</v>
      </c>
      <c r="CB42" t="s">
        <v>856</v>
      </c>
      <c r="CC42" t="s">
        <v>991</v>
      </c>
      <c r="CD42">
        <v>524</v>
      </c>
      <c r="CE42">
        <v>112</v>
      </c>
      <c r="CF42">
        <v>90.068702290100006</v>
      </c>
      <c r="CG42">
        <v>232</v>
      </c>
      <c r="CH42">
        <v>77</v>
      </c>
      <c r="CI42">
        <v>134.599137931</v>
      </c>
      <c r="CJ42">
        <v>143.1558441558</v>
      </c>
      <c r="CL42" t="s">
        <v>417</v>
      </c>
      <c r="CM42" t="s">
        <v>825</v>
      </c>
      <c r="CN42" t="s">
        <v>837</v>
      </c>
      <c r="CO42">
        <v>44</v>
      </c>
      <c r="CP42">
        <v>3</v>
      </c>
      <c r="CQ42">
        <v>62.7045454545</v>
      </c>
      <c r="CR42">
        <v>24</v>
      </c>
      <c r="CS42">
        <v>4</v>
      </c>
      <c r="CT42">
        <v>93.666666666699996</v>
      </c>
      <c r="CU42">
        <v>107.5</v>
      </c>
      <c r="CW42" t="s">
        <v>417</v>
      </c>
      <c r="CX42" t="s">
        <v>841</v>
      </c>
      <c r="CY42" t="s">
        <v>853</v>
      </c>
      <c r="CZ42">
        <v>4</v>
      </c>
      <c r="DA42">
        <v>1</v>
      </c>
      <c r="DB42">
        <v>105.5</v>
      </c>
      <c r="DC42">
        <v>3</v>
      </c>
      <c r="DD42">
        <v>1</v>
      </c>
      <c r="DE42">
        <v>108</v>
      </c>
      <c r="DF42">
        <v>132</v>
      </c>
      <c r="DH42" t="s">
        <v>417</v>
      </c>
      <c r="DI42" t="s">
        <v>809</v>
      </c>
      <c r="DJ42" t="s">
        <v>821</v>
      </c>
      <c r="DK42">
        <v>4</v>
      </c>
      <c r="DL42">
        <v>1</v>
      </c>
      <c r="DM42">
        <v>80.75</v>
      </c>
      <c r="DN42">
        <v>5</v>
      </c>
      <c r="DO42">
        <v>1</v>
      </c>
      <c r="DP42">
        <v>93.2</v>
      </c>
      <c r="DQ42">
        <v>129</v>
      </c>
    </row>
    <row r="43" spans="2:121" x14ac:dyDescent="0.2">
      <c r="B43" t="s">
        <v>116</v>
      </c>
      <c r="C43">
        <v>16456</v>
      </c>
      <c r="D43">
        <v>3867</v>
      </c>
      <c r="F43" t="s">
        <v>69</v>
      </c>
      <c r="G43">
        <v>7638</v>
      </c>
      <c r="H43">
        <v>415.64074365020002</v>
      </c>
      <c r="I43">
        <v>4528</v>
      </c>
      <c r="J43">
        <v>1164</v>
      </c>
      <c r="K43">
        <v>9436</v>
      </c>
      <c r="L43">
        <v>7056</v>
      </c>
      <c r="M43">
        <v>3453</v>
      </c>
      <c r="N43">
        <v>2837</v>
      </c>
      <c r="O43">
        <v>1806</v>
      </c>
      <c r="P43">
        <v>987</v>
      </c>
      <c r="Q43">
        <v>0</v>
      </c>
      <c r="R43">
        <v>72</v>
      </c>
      <c r="AH43" t="s">
        <v>427</v>
      </c>
      <c r="AI43">
        <v>2831</v>
      </c>
      <c r="AJ43">
        <v>375.83256799719999</v>
      </c>
      <c r="AK43">
        <v>3517</v>
      </c>
      <c r="AL43">
        <v>854</v>
      </c>
      <c r="AM43">
        <v>5326</v>
      </c>
      <c r="AN43">
        <v>3472</v>
      </c>
      <c r="AO43">
        <v>945</v>
      </c>
      <c r="AP43">
        <v>709</v>
      </c>
      <c r="AQ43">
        <v>1498</v>
      </c>
      <c r="AR43">
        <v>1007</v>
      </c>
      <c r="AS43">
        <v>335</v>
      </c>
      <c r="AT43">
        <v>2</v>
      </c>
      <c r="AV43" t="s">
        <v>416</v>
      </c>
      <c r="AW43">
        <v>147</v>
      </c>
      <c r="AX43">
        <v>99.435374149699996</v>
      </c>
      <c r="AY43">
        <v>144</v>
      </c>
      <c r="AZ43">
        <v>36</v>
      </c>
      <c r="BA43">
        <v>188</v>
      </c>
      <c r="BB43">
        <v>65</v>
      </c>
      <c r="BC43">
        <v>4</v>
      </c>
      <c r="BD43">
        <v>4</v>
      </c>
      <c r="BE43">
        <v>17</v>
      </c>
      <c r="BF43">
        <v>2</v>
      </c>
      <c r="BG43">
        <v>29</v>
      </c>
      <c r="BH43">
        <v>34</v>
      </c>
      <c r="BJ43" t="s">
        <v>643</v>
      </c>
      <c r="BK43" t="s">
        <v>369</v>
      </c>
      <c r="BL43">
        <v>727</v>
      </c>
      <c r="BM43">
        <v>220</v>
      </c>
      <c r="BN43">
        <v>106.7455295736</v>
      </c>
      <c r="BO43">
        <v>546</v>
      </c>
      <c r="BP43">
        <v>130</v>
      </c>
      <c r="BQ43">
        <v>139.20146520150001</v>
      </c>
      <c r="BR43">
        <v>141.4846153846</v>
      </c>
      <c r="BS43">
        <v>469</v>
      </c>
      <c r="BT43">
        <v>102</v>
      </c>
      <c r="BU43">
        <v>77.884861407200006</v>
      </c>
      <c r="BV43">
        <v>258</v>
      </c>
      <c r="BW43">
        <v>52</v>
      </c>
      <c r="BX43">
        <v>113.11240310079999</v>
      </c>
      <c r="BY43">
        <v>114</v>
      </c>
      <c r="CA43" t="s">
        <v>378</v>
      </c>
      <c r="CB43" t="s">
        <v>856</v>
      </c>
      <c r="CC43" t="s">
        <v>992</v>
      </c>
      <c r="CD43">
        <v>10789</v>
      </c>
      <c r="CE43">
        <v>2056</v>
      </c>
      <c r="CF43">
        <v>89.372323663000003</v>
      </c>
      <c r="CG43">
        <v>7195</v>
      </c>
      <c r="CH43">
        <v>1707</v>
      </c>
      <c r="CI43">
        <v>140.8668519805</v>
      </c>
      <c r="CJ43">
        <v>145.39835969539999</v>
      </c>
      <c r="CL43" t="s">
        <v>378</v>
      </c>
      <c r="CM43" t="s">
        <v>825</v>
      </c>
      <c r="CN43" t="s">
        <v>838</v>
      </c>
      <c r="CO43">
        <v>755</v>
      </c>
      <c r="CP43">
        <v>83</v>
      </c>
      <c r="CQ43">
        <v>68.736423841100006</v>
      </c>
      <c r="CR43">
        <v>694</v>
      </c>
      <c r="CS43">
        <v>169</v>
      </c>
      <c r="CT43">
        <v>90.247838616699994</v>
      </c>
      <c r="CU43">
        <v>90.272189349100003</v>
      </c>
      <c r="CW43" t="s">
        <v>378</v>
      </c>
      <c r="CX43" t="s">
        <v>841</v>
      </c>
      <c r="CY43" t="s">
        <v>854</v>
      </c>
      <c r="CZ43">
        <v>704</v>
      </c>
      <c r="DA43">
        <v>144</v>
      </c>
      <c r="DB43">
        <v>85.825284090899999</v>
      </c>
      <c r="DC43">
        <v>253</v>
      </c>
      <c r="DD43">
        <v>79</v>
      </c>
      <c r="DE43">
        <v>165.64426877470001</v>
      </c>
      <c r="DF43">
        <v>173.417721519</v>
      </c>
      <c r="DH43" t="s">
        <v>378</v>
      </c>
      <c r="DI43" t="s">
        <v>809</v>
      </c>
      <c r="DJ43" t="s">
        <v>822</v>
      </c>
      <c r="DK43">
        <v>1249</v>
      </c>
      <c r="DL43">
        <v>289</v>
      </c>
      <c r="DM43">
        <v>91.110488390699999</v>
      </c>
      <c r="DN43">
        <v>371</v>
      </c>
      <c r="DO43">
        <v>113</v>
      </c>
      <c r="DP43">
        <v>149.53638814019999</v>
      </c>
      <c r="DQ43">
        <v>152.4778761062</v>
      </c>
    </row>
    <row r="44" spans="2:121" x14ac:dyDescent="0.2">
      <c r="B44" t="s">
        <v>115</v>
      </c>
      <c r="C44">
        <v>8615</v>
      </c>
      <c r="D44">
        <v>387</v>
      </c>
      <c r="F44" t="s">
        <v>35</v>
      </c>
      <c r="G44">
        <v>1982</v>
      </c>
      <c r="H44">
        <v>448.76740665990002</v>
      </c>
      <c r="I44">
        <v>1179</v>
      </c>
      <c r="J44">
        <v>320</v>
      </c>
      <c r="K44">
        <v>2687</v>
      </c>
      <c r="L44">
        <v>1864</v>
      </c>
      <c r="M44">
        <v>2223</v>
      </c>
      <c r="N44">
        <v>1912</v>
      </c>
      <c r="O44">
        <v>396</v>
      </c>
      <c r="P44">
        <v>161</v>
      </c>
      <c r="Q44">
        <v>0</v>
      </c>
      <c r="R44">
        <v>2</v>
      </c>
      <c r="AH44" t="s">
        <v>372</v>
      </c>
      <c r="AI44">
        <v>410</v>
      </c>
      <c r="AJ44">
        <v>237.8634146341</v>
      </c>
      <c r="AK44">
        <v>892</v>
      </c>
      <c r="AL44">
        <v>172</v>
      </c>
      <c r="AM44">
        <v>775</v>
      </c>
      <c r="AN44">
        <v>356</v>
      </c>
      <c r="AO44">
        <v>323</v>
      </c>
      <c r="AP44">
        <v>217</v>
      </c>
      <c r="AQ44">
        <v>182</v>
      </c>
      <c r="AR44">
        <v>93</v>
      </c>
      <c r="AS44">
        <v>204</v>
      </c>
      <c r="AT44">
        <v>3</v>
      </c>
      <c r="AV44" t="s">
        <v>394</v>
      </c>
      <c r="AW44">
        <v>321</v>
      </c>
      <c r="AX44">
        <v>58.535825545199998</v>
      </c>
      <c r="AY44">
        <v>890</v>
      </c>
      <c r="AZ44">
        <v>78</v>
      </c>
      <c r="BA44">
        <v>493</v>
      </c>
      <c r="BB44">
        <v>30</v>
      </c>
      <c r="BC44">
        <v>1</v>
      </c>
      <c r="BD44">
        <v>1</v>
      </c>
      <c r="BE44">
        <v>50</v>
      </c>
      <c r="BF44">
        <v>14</v>
      </c>
      <c r="BG44">
        <v>87</v>
      </c>
      <c r="BH44">
        <v>121</v>
      </c>
      <c r="BJ44" t="s">
        <v>543</v>
      </c>
      <c r="BK44" t="s">
        <v>369</v>
      </c>
      <c r="BL44">
        <v>17025</v>
      </c>
      <c r="BM44">
        <v>4232</v>
      </c>
      <c r="BN44">
        <v>98.573627019100002</v>
      </c>
      <c r="BO44">
        <v>11732</v>
      </c>
      <c r="BP44">
        <v>3067</v>
      </c>
      <c r="BQ44">
        <v>149.28307194000001</v>
      </c>
      <c r="BR44">
        <v>144.56406912290001</v>
      </c>
      <c r="BS44">
        <v>10858</v>
      </c>
      <c r="BT44">
        <v>2222</v>
      </c>
      <c r="BU44">
        <v>84.693405783800003</v>
      </c>
      <c r="BV44">
        <v>7397</v>
      </c>
      <c r="BW44">
        <v>1916</v>
      </c>
      <c r="BX44">
        <v>142.6268757604</v>
      </c>
      <c r="BY44">
        <v>135.63830897700001</v>
      </c>
      <c r="CA44" t="s">
        <v>379</v>
      </c>
      <c r="CB44" t="s">
        <v>856</v>
      </c>
      <c r="CC44" t="s">
        <v>993</v>
      </c>
      <c r="CD44">
        <v>2493</v>
      </c>
      <c r="CE44">
        <v>367</v>
      </c>
      <c r="CF44">
        <v>84.0188527878</v>
      </c>
      <c r="CG44">
        <v>1936</v>
      </c>
      <c r="CH44">
        <v>506</v>
      </c>
      <c r="CI44">
        <v>119.3259297521</v>
      </c>
      <c r="CJ44">
        <v>124.4011857708</v>
      </c>
      <c r="CL44" t="s">
        <v>379</v>
      </c>
      <c r="CM44" t="s">
        <v>825</v>
      </c>
      <c r="CN44" t="s">
        <v>839</v>
      </c>
      <c r="CO44">
        <v>247</v>
      </c>
      <c r="CP44">
        <v>25</v>
      </c>
      <c r="CQ44">
        <v>72.429149797600004</v>
      </c>
      <c r="CR44">
        <v>234</v>
      </c>
      <c r="CS44">
        <v>63</v>
      </c>
      <c r="CT44">
        <v>84.525641025599995</v>
      </c>
      <c r="CU44">
        <v>91.317460317499993</v>
      </c>
      <c r="CW44" t="s">
        <v>379</v>
      </c>
      <c r="CX44" t="s">
        <v>841</v>
      </c>
      <c r="CY44" t="s">
        <v>855</v>
      </c>
      <c r="CZ44">
        <v>23</v>
      </c>
      <c r="DA44">
        <v>2</v>
      </c>
      <c r="DB44">
        <v>77.695652173900001</v>
      </c>
      <c r="DC44">
        <v>9</v>
      </c>
      <c r="DD44">
        <v>3</v>
      </c>
      <c r="DE44">
        <v>149.55555555559999</v>
      </c>
      <c r="DF44">
        <v>147.6666666667</v>
      </c>
      <c r="DH44" t="s">
        <v>379</v>
      </c>
      <c r="DI44" t="s">
        <v>809</v>
      </c>
      <c r="DJ44" t="s">
        <v>823</v>
      </c>
      <c r="DK44">
        <v>28</v>
      </c>
      <c r="DL44">
        <v>9</v>
      </c>
      <c r="DM44">
        <v>105.25</v>
      </c>
      <c r="DN44">
        <v>13</v>
      </c>
      <c r="DO44">
        <v>6</v>
      </c>
      <c r="DP44">
        <v>120.4615384615</v>
      </c>
      <c r="DQ44">
        <v>109.1666666667</v>
      </c>
    </row>
    <row r="45" spans="2:121" x14ac:dyDescent="0.2">
      <c r="B45" t="s">
        <v>130</v>
      </c>
      <c r="C45">
        <v>63299</v>
      </c>
      <c r="D45">
        <v>56612</v>
      </c>
      <c r="F45" t="s">
        <v>84</v>
      </c>
      <c r="G45">
        <v>1630</v>
      </c>
      <c r="H45">
        <v>172.5122699387</v>
      </c>
      <c r="I45">
        <v>2879</v>
      </c>
      <c r="J45">
        <v>500</v>
      </c>
      <c r="K45">
        <v>2385</v>
      </c>
      <c r="L45">
        <v>1110</v>
      </c>
      <c r="M45">
        <v>1102</v>
      </c>
      <c r="N45">
        <v>398</v>
      </c>
      <c r="O45">
        <v>225</v>
      </c>
      <c r="P45">
        <v>96</v>
      </c>
      <c r="Q45">
        <v>0</v>
      </c>
      <c r="R45">
        <v>9</v>
      </c>
      <c r="AH45" t="s">
        <v>383</v>
      </c>
      <c r="AI45">
        <v>10544</v>
      </c>
      <c r="AJ45">
        <v>350.54941198789999</v>
      </c>
      <c r="AK45">
        <v>9576</v>
      </c>
      <c r="AL45">
        <v>2572</v>
      </c>
      <c r="AM45">
        <v>14897</v>
      </c>
      <c r="AN45">
        <v>10529</v>
      </c>
      <c r="AO45">
        <v>3080</v>
      </c>
      <c r="AP45">
        <v>1896</v>
      </c>
      <c r="AQ45">
        <v>3266</v>
      </c>
      <c r="AR45">
        <v>1781</v>
      </c>
      <c r="AS45">
        <v>596</v>
      </c>
      <c r="AT45">
        <v>60</v>
      </c>
      <c r="AV45" t="s">
        <v>421</v>
      </c>
      <c r="AW45">
        <v>11</v>
      </c>
      <c r="AX45">
        <v>51.636363636399999</v>
      </c>
      <c r="AY45">
        <v>20</v>
      </c>
      <c r="BA45">
        <v>20</v>
      </c>
      <c r="BB45">
        <v>2</v>
      </c>
      <c r="BC45">
        <v>0</v>
      </c>
      <c r="BE45">
        <v>0</v>
      </c>
      <c r="BG45">
        <v>65</v>
      </c>
      <c r="BH45">
        <v>3</v>
      </c>
      <c r="BJ45" t="s">
        <v>8</v>
      </c>
      <c r="BK45" t="s">
        <v>8</v>
      </c>
      <c r="BL45">
        <v>221</v>
      </c>
      <c r="BM45">
        <v>166</v>
      </c>
      <c r="BN45">
        <v>204.89140271490001</v>
      </c>
      <c r="BO45">
        <v>322</v>
      </c>
      <c r="BP45">
        <v>56</v>
      </c>
      <c r="BQ45">
        <v>200.9161490683</v>
      </c>
      <c r="BR45">
        <v>203.125</v>
      </c>
      <c r="BS45">
        <v>168</v>
      </c>
      <c r="BT45">
        <v>31</v>
      </c>
      <c r="BU45">
        <v>99.767857142899999</v>
      </c>
      <c r="BV45">
        <v>461</v>
      </c>
      <c r="BW45">
        <v>271</v>
      </c>
      <c r="BX45">
        <v>146.84598698479999</v>
      </c>
      <c r="BY45">
        <v>153.9704797048</v>
      </c>
      <c r="CA45" t="s">
        <v>369</v>
      </c>
      <c r="CB45" t="s">
        <v>856</v>
      </c>
      <c r="CD45">
        <v>67809</v>
      </c>
      <c r="CE45">
        <v>14916</v>
      </c>
      <c r="CF45">
        <v>94.361780884500007</v>
      </c>
      <c r="CG45">
        <v>48828</v>
      </c>
      <c r="CH45">
        <v>12223</v>
      </c>
      <c r="CI45">
        <v>137.84193495540001</v>
      </c>
      <c r="CJ45">
        <v>137.1014480897</v>
      </c>
      <c r="CL45" t="s">
        <v>369</v>
      </c>
      <c r="CM45" t="s">
        <v>825</v>
      </c>
      <c r="CO45">
        <v>7072</v>
      </c>
      <c r="CP45">
        <v>684</v>
      </c>
      <c r="CQ45">
        <v>67.03125</v>
      </c>
      <c r="CR45">
        <v>6225</v>
      </c>
      <c r="CS45">
        <v>1652</v>
      </c>
      <c r="CT45">
        <v>82.317911646599995</v>
      </c>
      <c r="CU45">
        <v>84.819612590800006</v>
      </c>
      <c r="CW45" t="s">
        <v>369</v>
      </c>
      <c r="CX45" t="s">
        <v>841</v>
      </c>
      <c r="CZ45">
        <v>2502</v>
      </c>
      <c r="DA45">
        <v>500</v>
      </c>
      <c r="DB45">
        <v>84.803357314099998</v>
      </c>
      <c r="DC45">
        <v>955</v>
      </c>
      <c r="DD45">
        <v>288</v>
      </c>
      <c r="DE45">
        <v>145.63455497379999</v>
      </c>
      <c r="DF45">
        <v>152.9340277778</v>
      </c>
      <c r="DH45" t="s">
        <v>369</v>
      </c>
      <c r="DI45" t="s">
        <v>809</v>
      </c>
      <c r="DK45">
        <v>3549</v>
      </c>
      <c r="DL45">
        <v>769</v>
      </c>
      <c r="DM45">
        <v>87.5094392787</v>
      </c>
      <c r="DN45">
        <v>1197</v>
      </c>
      <c r="DO45">
        <v>337</v>
      </c>
      <c r="DP45">
        <v>141.68003341689999</v>
      </c>
      <c r="DQ45">
        <v>144.6023738872</v>
      </c>
    </row>
    <row r="46" spans="2:121" x14ac:dyDescent="0.2">
      <c r="B46" t="s">
        <v>129</v>
      </c>
      <c r="C46">
        <v>9802</v>
      </c>
      <c r="D46">
        <v>7198</v>
      </c>
      <c r="F46" t="s">
        <v>66</v>
      </c>
      <c r="G46">
        <v>6120</v>
      </c>
      <c r="H46">
        <v>385.46274509800003</v>
      </c>
      <c r="I46">
        <v>11598</v>
      </c>
      <c r="J46">
        <v>2841</v>
      </c>
      <c r="K46">
        <v>9321</v>
      </c>
      <c r="L46">
        <v>6584</v>
      </c>
      <c r="M46">
        <v>2505</v>
      </c>
      <c r="N46">
        <v>947</v>
      </c>
      <c r="O46">
        <v>7218</v>
      </c>
      <c r="P46">
        <v>6418</v>
      </c>
      <c r="Q46">
        <v>12610</v>
      </c>
      <c r="R46">
        <v>0</v>
      </c>
      <c r="AH46" t="s">
        <v>420</v>
      </c>
      <c r="AI46">
        <v>400</v>
      </c>
      <c r="AJ46">
        <v>240.36250000000001</v>
      </c>
      <c r="AK46">
        <v>797</v>
      </c>
      <c r="AL46">
        <v>158</v>
      </c>
      <c r="AM46">
        <v>866</v>
      </c>
      <c r="AN46">
        <v>302</v>
      </c>
      <c r="AO46">
        <v>357</v>
      </c>
      <c r="AP46">
        <v>169</v>
      </c>
      <c r="AQ46">
        <v>139</v>
      </c>
      <c r="AR46">
        <v>73</v>
      </c>
      <c r="AS46">
        <v>1</v>
      </c>
      <c r="AT46">
        <v>1</v>
      </c>
      <c r="AV46" t="s">
        <v>389</v>
      </c>
      <c r="AW46">
        <v>143</v>
      </c>
      <c r="AX46">
        <v>57.076923076900002</v>
      </c>
      <c r="AY46">
        <v>329</v>
      </c>
      <c r="AZ46">
        <v>26</v>
      </c>
      <c r="BA46">
        <v>236</v>
      </c>
      <c r="BB46">
        <v>24</v>
      </c>
      <c r="BC46">
        <v>3</v>
      </c>
      <c r="BD46">
        <v>3</v>
      </c>
      <c r="BE46">
        <v>37</v>
      </c>
      <c r="BF46">
        <v>6</v>
      </c>
      <c r="BG46">
        <v>77</v>
      </c>
      <c r="BH46">
        <v>23</v>
      </c>
      <c r="BJ46" t="s">
        <v>686</v>
      </c>
      <c r="BK46" t="s">
        <v>8</v>
      </c>
      <c r="BL46">
        <v>221</v>
      </c>
      <c r="BM46">
        <v>166</v>
      </c>
      <c r="BN46">
        <v>204.89140271490001</v>
      </c>
      <c r="BO46">
        <v>322</v>
      </c>
      <c r="BP46">
        <v>56</v>
      </c>
      <c r="BQ46">
        <v>200.9161490683</v>
      </c>
      <c r="BR46">
        <v>203.125</v>
      </c>
      <c r="BS46">
        <v>168</v>
      </c>
      <c r="BT46">
        <v>31</v>
      </c>
      <c r="BU46">
        <v>99.767857142899999</v>
      </c>
      <c r="BV46">
        <v>461</v>
      </c>
      <c r="BW46">
        <v>271</v>
      </c>
      <c r="BX46">
        <v>146.84598698479999</v>
      </c>
      <c r="BY46">
        <v>153.9704797048</v>
      </c>
      <c r="CA46" t="s">
        <v>8</v>
      </c>
      <c r="CB46" t="s">
        <v>686</v>
      </c>
      <c r="CC46" t="s">
        <v>686</v>
      </c>
      <c r="CD46">
        <v>3507</v>
      </c>
      <c r="CE46">
        <v>1274</v>
      </c>
      <c r="CF46">
        <v>127.2919874537</v>
      </c>
      <c r="CG46">
        <v>2085</v>
      </c>
      <c r="CH46">
        <v>535</v>
      </c>
      <c r="CI46">
        <v>184.7294964029</v>
      </c>
      <c r="CJ46">
        <v>184.3831775701</v>
      </c>
      <c r="CL46" t="s">
        <v>8</v>
      </c>
      <c r="CM46" t="s">
        <v>858</v>
      </c>
      <c r="CN46" t="s">
        <v>858</v>
      </c>
      <c r="CO46">
        <v>186</v>
      </c>
      <c r="CP46">
        <v>21</v>
      </c>
      <c r="CQ46">
        <v>71.553763440899999</v>
      </c>
      <c r="CR46">
        <v>217</v>
      </c>
      <c r="CS46">
        <v>63</v>
      </c>
      <c r="CT46">
        <v>85.815668202799998</v>
      </c>
      <c r="CU46">
        <v>73.380952381</v>
      </c>
      <c r="CW46" t="s">
        <v>8</v>
      </c>
      <c r="CX46" t="s">
        <v>859</v>
      </c>
      <c r="CY46" t="s">
        <v>859</v>
      </c>
      <c r="CZ46">
        <v>32</v>
      </c>
      <c r="DA46">
        <v>8</v>
      </c>
      <c r="DB46">
        <v>93.71875</v>
      </c>
      <c r="DC46">
        <v>10</v>
      </c>
      <c r="DD46">
        <v>1</v>
      </c>
      <c r="DE46">
        <v>133.9</v>
      </c>
      <c r="DF46">
        <v>111</v>
      </c>
      <c r="DH46" t="s">
        <v>8</v>
      </c>
      <c r="DI46" t="s">
        <v>857</v>
      </c>
      <c r="DJ46" t="s">
        <v>857</v>
      </c>
      <c r="DK46">
        <v>75</v>
      </c>
      <c r="DL46">
        <v>16</v>
      </c>
      <c r="DM46">
        <v>71.7866666667</v>
      </c>
      <c r="DN46">
        <v>31</v>
      </c>
      <c r="DO46">
        <v>9</v>
      </c>
      <c r="DP46">
        <v>107.6129032258</v>
      </c>
      <c r="DQ46">
        <v>114.55555555559999</v>
      </c>
    </row>
    <row r="47" spans="2:121" x14ac:dyDescent="0.2">
      <c r="B47" t="s">
        <v>111</v>
      </c>
      <c r="C47">
        <v>545</v>
      </c>
      <c r="D47">
        <v>451</v>
      </c>
      <c r="F47" t="s">
        <v>81</v>
      </c>
      <c r="G47">
        <v>1456</v>
      </c>
      <c r="H47">
        <v>250.0206043956</v>
      </c>
      <c r="I47">
        <v>1090</v>
      </c>
      <c r="J47">
        <v>143</v>
      </c>
      <c r="K47">
        <v>2177</v>
      </c>
      <c r="L47">
        <v>1306</v>
      </c>
      <c r="M47">
        <v>1450</v>
      </c>
      <c r="N47">
        <v>869</v>
      </c>
      <c r="O47">
        <v>674</v>
      </c>
      <c r="P47">
        <v>626</v>
      </c>
      <c r="Q47">
        <v>1</v>
      </c>
      <c r="R47">
        <v>0</v>
      </c>
      <c r="AH47" t="s">
        <v>384</v>
      </c>
      <c r="AI47">
        <v>6652</v>
      </c>
      <c r="AJ47">
        <v>289.38770294649999</v>
      </c>
      <c r="AK47">
        <v>9530</v>
      </c>
      <c r="AL47">
        <v>1935</v>
      </c>
      <c r="AM47">
        <v>11319</v>
      </c>
      <c r="AN47">
        <v>5729</v>
      </c>
      <c r="AO47">
        <v>3735</v>
      </c>
      <c r="AP47">
        <v>2555</v>
      </c>
      <c r="AQ47">
        <v>2397</v>
      </c>
      <c r="AR47">
        <v>1417</v>
      </c>
      <c r="AS47">
        <v>569</v>
      </c>
      <c r="AT47">
        <v>244</v>
      </c>
      <c r="AV47" t="s">
        <v>423</v>
      </c>
      <c r="AW47">
        <v>55</v>
      </c>
      <c r="AX47">
        <v>102.8181818182</v>
      </c>
      <c r="AY47">
        <v>112</v>
      </c>
      <c r="AZ47">
        <v>17</v>
      </c>
      <c r="BA47">
        <v>82</v>
      </c>
      <c r="BB47">
        <v>27</v>
      </c>
      <c r="BC47">
        <v>5</v>
      </c>
      <c r="BD47">
        <v>4</v>
      </c>
      <c r="BE47">
        <v>10</v>
      </c>
      <c r="BF47">
        <v>3</v>
      </c>
      <c r="BG47">
        <v>15</v>
      </c>
      <c r="BH47">
        <v>31</v>
      </c>
      <c r="BJ47" t="s">
        <v>586</v>
      </c>
      <c r="BK47" t="s">
        <v>404</v>
      </c>
      <c r="BL47">
        <v>3174</v>
      </c>
      <c r="BM47">
        <v>602</v>
      </c>
      <c r="BN47">
        <v>92.504725897900002</v>
      </c>
      <c r="BO47">
        <v>1932</v>
      </c>
      <c r="BP47">
        <v>420</v>
      </c>
      <c r="BQ47">
        <v>145.4492753623</v>
      </c>
      <c r="BR47">
        <v>156.07380952380001</v>
      </c>
      <c r="BS47">
        <v>2473</v>
      </c>
      <c r="BT47">
        <v>461</v>
      </c>
      <c r="BU47">
        <v>91.217953902100007</v>
      </c>
      <c r="BV47">
        <v>1626</v>
      </c>
      <c r="BW47">
        <v>339</v>
      </c>
      <c r="BX47">
        <v>144.91512915129999</v>
      </c>
      <c r="BY47">
        <v>158.35398230089999</v>
      </c>
      <c r="CA47" t="s">
        <v>8</v>
      </c>
      <c r="CB47" t="s">
        <v>686</v>
      </c>
      <c r="CC47" t="s">
        <v>686</v>
      </c>
      <c r="CD47">
        <v>3507</v>
      </c>
      <c r="CE47">
        <v>1274</v>
      </c>
      <c r="CF47">
        <v>127.2919874537</v>
      </c>
      <c r="CG47">
        <v>2085</v>
      </c>
      <c r="CH47">
        <v>535</v>
      </c>
      <c r="CI47">
        <v>184.7294964029</v>
      </c>
      <c r="CJ47">
        <v>184.3831775701</v>
      </c>
      <c r="CL47" t="s">
        <v>8</v>
      </c>
      <c r="CM47" t="s">
        <v>858</v>
      </c>
      <c r="CN47" t="s">
        <v>858</v>
      </c>
      <c r="CO47">
        <v>186</v>
      </c>
      <c r="CP47">
        <v>21</v>
      </c>
      <c r="CQ47">
        <v>71.553763440899999</v>
      </c>
      <c r="CR47">
        <v>217</v>
      </c>
      <c r="CS47">
        <v>63</v>
      </c>
      <c r="CT47">
        <v>85.815668202799998</v>
      </c>
      <c r="CU47">
        <v>73.380952381</v>
      </c>
      <c r="CW47" t="s">
        <v>8</v>
      </c>
      <c r="CX47" t="s">
        <v>859</v>
      </c>
      <c r="CY47" t="s">
        <v>859</v>
      </c>
      <c r="CZ47">
        <v>32</v>
      </c>
      <c r="DA47">
        <v>8</v>
      </c>
      <c r="DB47">
        <v>93.71875</v>
      </c>
      <c r="DC47">
        <v>10</v>
      </c>
      <c r="DD47">
        <v>1</v>
      </c>
      <c r="DE47">
        <v>133.9</v>
      </c>
      <c r="DF47">
        <v>111</v>
      </c>
      <c r="DH47" t="s">
        <v>8</v>
      </c>
      <c r="DI47" t="s">
        <v>857</v>
      </c>
      <c r="DJ47" t="s">
        <v>857</v>
      </c>
      <c r="DK47">
        <v>75</v>
      </c>
      <c r="DL47">
        <v>16</v>
      </c>
      <c r="DM47">
        <v>71.7866666667</v>
      </c>
      <c r="DN47">
        <v>31</v>
      </c>
      <c r="DO47">
        <v>9</v>
      </c>
      <c r="DP47">
        <v>107.6129032258</v>
      </c>
      <c r="DQ47">
        <v>114.55555555559999</v>
      </c>
    </row>
    <row r="48" spans="2:121" x14ac:dyDescent="0.2">
      <c r="B48" t="s">
        <v>21</v>
      </c>
      <c r="C48">
        <v>40899</v>
      </c>
      <c r="D48">
        <v>12152</v>
      </c>
      <c r="F48" t="s">
        <v>43</v>
      </c>
      <c r="G48">
        <v>5883</v>
      </c>
      <c r="H48">
        <v>385.77698453170001</v>
      </c>
      <c r="I48">
        <v>8275</v>
      </c>
      <c r="J48">
        <v>2412</v>
      </c>
      <c r="K48">
        <v>8286</v>
      </c>
      <c r="L48">
        <v>5667</v>
      </c>
      <c r="M48">
        <v>3394</v>
      </c>
      <c r="N48">
        <v>2409</v>
      </c>
      <c r="O48">
        <v>818</v>
      </c>
      <c r="P48">
        <v>375</v>
      </c>
      <c r="Q48">
        <v>0</v>
      </c>
      <c r="R48">
        <v>58</v>
      </c>
      <c r="AH48" t="s">
        <v>410</v>
      </c>
      <c r="AI48">
        <v>30785</v>
      </c>
      <c r="AJ48">
        <v>353.54536300149999</v>
      </c>
      <c r="AK48">
        <v>35504</v>
      </c>
      <c r="AL48">
        <v>7606</v>
      </c>
      <c r="AM48">
        <v>42171</v>
      </c>
      <c r="AN48">
        <v>26938</v>
      </c>
      <c r="AO48">
        <v>10321</v>
      </c>
      <c r="AP48">
        <v>5334</v>
      </c>
      <c r="AQ48">
        <v>11401</v>
      </c>
      <c r="AR48">
        <v>6549</v>
      </c>
      <c r="AS48">
        <v>28</v>
      </c>
      <c r="AT48">
        <v>402</v>
      </c>
      <c r="AV48" t="s">
        <v>419</v>
      </c>
      <c r="AW48">
        <v>13</v>
      </c>
      <c r="AX48">
        <v>35.2307692308</v>
      </c>
      <c r="AY48">
        <v>53</v>
      </c>
      <c r="AZ48">
        <v>1</v>
      </c>
      <c r="BA48">
        <v>20</v>
      </c>
      <c r="BC48">
        <v>0</v>
      </c>
      <c r="BE48">
        <v>0</v>
      </c>
      <c r="BG48">
        <v>58</v>
      </c>
      <c r="BH48">
        <v>3</v>
      </c>
      <c r="BJ48" t="s">
        <v>645</v>
      </c>
      <c r="BK48" t="s">
        <v>404</v>
      </c>
      <c r="BL48">
        <v>1305</v>
      </c>
      <c r="BM48">
        <v>337</v>
      </c>
      <c r="BN48">
        <v>92.586973180100003</v>
      </c>
      <c r="BO48">
        <v>418</v>
      </c>
      <c r="BP48">
        <v>123</v>
      </c>
      <c r="BQ48">
        <v>138.56698564589999</v>
      </c>
      <c r="BR48">
        <v>151.38211382110001</v>
      </c>
      <c r="BS48">
        <v>1243</v>
      </c>
      <c r="BT48">
        <v>298</v>
      </c>
      <c r="BU48">
        <v>90.883346741799997</v>
      </c>
      <c r="BV48">
        <v>469</v>
      </c>
      <c r="BW48">
        <v>118</v>
      </c>
      <c r="BX48">
        <v>144.34541577830001</v>
      </c>
      <c r="BY48">
        <v>154.72881355929999</v>
      </c>
      <c r="CA48" t="s">
        <v>8</v>
      </c>
      <c r="CB48" t="s">
        <v>686</v>
      </c>
      <c r="CC48" t="s">
        <v>686</v>
      </c>
      <c r="CD48">
        <v>3507</v>
      </c>
      <c r="CE48">
        <v>1274</v>
      </c>
      <c r="CF48">
        <v>127.2919874537</v>
      </c>
      <c r="CG48">
        <v>2085</v>
      </c>
      <c r="CH48">
        <v>535</v>
      </c>
      <c r="CI48">
        <v>184.7294964029</v>
      </c>
      <c r="CJ48">
        <v>184.3831775701</v>
      </c>
      <c r="CL48" t="s">
        <v>8</v>
      </c>
      <c r="CM48" t="s">
        <v>858</v>
      </c>
      <c r="CN48" t="s">
        <v>858</v>
      </c>
      <c r="CO48">
        <v>186</v>
      </c>
      <c r="CP48">
        <v>21</v>
      </c>
      <c r="CQ48">
        <v>71.553763440899999</v>
      </c>
      <c r="CR48">
        <v>217</v>
      </c>
      <c r="CS48">
        <v>63</v>
      </c>
      <c r="CT48">
        <v>85.815668202799998</v>
      </c>
      <c r="CU48">
        <v>73.380952381</v>
      </c>
      <c r="CW48" t="s">
        <v>8</v>
      </c>
      <c r="CX48" t="s">
        <v>859</v>
      </c>
      <c r="CY48" t="s">
        <v>859</v>
      </c>
      <c r="CZ48">
        <v>32</v>
      </c>
      <c r="DA48">
        <v>8</v>
      </c>
      <c r="DB48">
        <v>93.71875</v>
      </c>
      <c r="DC48">
        <v>10</v>
      </c>
      <c r="DD48">
        <v>1</v>
      </c>
      <c r="DE48">
        <v>133.9</v>
      </c>
      <c r="DF48">
        <v>111</v>
      </c>
      <c r="DH48" t="s">
        <v>8</v>
      </c>
      <c r="DI48" t="s">
        <v>857</v>
      </c>
      <c r="DJ48" t="s">
        <v>857</v>
      </c>
      <c r="DK48">
        <v>75</v>
      </c>
      <c r="DL48">
        <v>16</v>
      </c>
      <c r="DM48">
        <v>71.7866666667</v>
      </c>
      <c r="DN48">
        <v>31</v>
      </c>
      <c r="DO48">
        <v>9</v>
      </c>
      <c r="DP48">
        <v>107.6129032258</v>
      </c>
      <c r="DQ48">
        <v>114.55555555559999</v>
      </c>
    </row>
    <row r="49" spans="2:121" x14ac:dyDescent="0.2">
      <c r="B49" t="s">
        <v>105</v>
      </c>
      <c r="C49">
        <v>19911</v>
      </c>
      <c r="D49">
        <v>14645</v>
      </c>
      <c r="F49" t="s">
        <v>79</v>
      </c>
      <c r="G49">
        <v>2375</v>
      </c>
      <c r="H49">
        <v>149.62947368420001</v>
      </c>
      <c r="I49">
        <v>9257</v>
      </c>
      <c r="J49">
        <v>1619</v>
      </c>
      <c r="K49">
        <v>11797</v>
      </c>
      <c r="L49">
        <v>2915</v>
      </c>
      <c r="M49">
        <v>1566</v>
      </c>
      <c r="N49">
        <v>357</v>
      </c>
      <c r="O49">
        <v>1067</v>
      </c>
      <c r="P49">
        <v>645</v>
      </c>
      <c r="Q49">
        <v>32</v>
      </c>
      <c r="R49">
        <v>0</v>
      </c>
      <c r="AH49" t="s">
        <v>406</v>
      </c>
      <c r="AI49">
        <v>1970</v>
      </c>
      <c r="AJ49">
        <v>304.43807106600002</v>
      </c>
      <c r="AK49">
        <v>2353</v>
      </c>
      <c r="AL49">
        <v>569</v>
      </c>
      <c r="AM49">
        <v>2799</v>
      </c>
      <c r="AN49">
        <v>1709</v>
      </c>
      <c r="AO49">
        <v>867</v>
      </c>
      <c r="AP49">
        <v>471</v>
      </c>
      <c r="AQ49">
        <v>338</v>
      </c>
      <c r="AR49">
        <v>152</v>
      </c>
      <c r="AS49">
        <v>0</v>
      </c>
      <c r="AT49">
        <v>2</v>
      </c>
      <c r="AV49" t="s">
        <v>378</v>
      </c>
      <c r="AW49">
        <v>789</v>
      </c>
      <c r="AX49">
        <v>100.5792141952</v>
      </c>
      <c r="AY49">
        <v>863</v>
      </c>
      <c r="AZ49">
        <v>186</v>
      </c>
      <c r="BA49">
        <v>1073</v>
      </c>
      <c r="BB49">
        <v>345</v>
      </c>
      <c r="BC49">
        <v>148</v>
      </c>
      <c r="BD49">
        <v>147</v>
      </c>
      <c r="BE49">
        <v>65</v>
      </c>
      <c r="BF49">
        <v>28</v>
      </c>
      <c r="BG49">
        <v>178</v>
      </c>
      <c r="BH49">
        <v>324</v>
      </c>
      <c r="BJ49" t="s">
        <v>601</v>
      </c>
      <c r="BK49" t="s">
        <v>404</v>
      </c>
      <c r="BL49">
        <v>1266</v>
      </c>
      <c r="BM49">
        <v>245</v>
      </c>
      <c r="BN49">
        <v>86.137440758300002</v>
      </c>
      <c r="BO49">
        <v>1220</v>
      </c>
      <c r="BP49">
        <v>285</v>
      </c>
      <c r="BQ49">
        <v>117.9327868852</v>
      </c>
      <c r="BR49">
        <v>110.8035087719</v>
      </c>
      <c r="BS49">
        <v>1404</v>
      </c>
      <c r="BT49">
        <v>376</v>
      </c>
      <c r="BU49">
        <v>97.264957265000007</v>
      </c>
      <c r="BV49">
        <v>1369</v>
      </c>
      <c r="BW49">
        <v>332</v>
      </c>
      <c r="BX49">
        <v>129.30752373999999</v>
      </c>
      <c r="BY49">
        <v>124.9337349398</v>
      </c>
      <c r="CA49" t="s">
        <v>8</v>
      </c>
      <c r="CB49" t="s">
        <v>686</v>
      </c>
      <c r="CD49">
        <v>3507</v>
      </c>
      <c r="CE49">
        <v>1274</v>
      </c>
      <c r="CF49">
        <v>127.2919874537</v>
      </c>
      <c r="CG49">
        <v>2085</v>
      </c>
      <c r="CH49">
        <v>535</v>
      </c>
      <c r="CI49">
        <v>184.7294964029</v>
      </c>
      <c r="CJ49">
        <v>184.3831775701</v>
      </c>
      <c r="CL49" t="s">
        <v>8</v>
      </c>
      <c r="CM49" t="s">
        <v>858</v>
      </c>
      <c r="CO49">
        <v>186</v>
      </c>
      <c r="CP49">
        <v>21</v>
      </c>
      <c r="CQ49">
        <v>71.553763440899999</v>
      </c>
      <c r="CR49">
        <v>217</v>
      </c>
      <c r="CS49">
        <v>63</v>
      </c>
      <c r="CT49">
        <v>85.815668202799998</v>
      </c>
      <c r="CU49">
        <v>73.380952381</v>
      </c>
      <c r="CW49" t="s">
        <v>8</v>
      </c>
      <c r="CX49" t="s">
        <v>859</v>
      </c>
      <c r="CZ49">
        <v>32</v>
      </c>
      <c r="DA49">
        <v>8</v>
      </c>
      <c r="DB49">
        <v>93.71875</v>
      </c>
      <c r="DC49">
        <v>10</v>
      </c>
      <c r="DD49">
        <v>1</v>
      </c>
      <c r="DE49">
        <v>133.9</v>
      </c>
      <c r="DF49">
        <v>111</v>
      </c>
      <c r="DH49" t="s">
        <v>8</v>
      </c>
      <c r="DI49" t="s">
        <v>857</v>
      </c>
      <c r="DK49">
        <v>75</v>
      </c>
      <c r="DL49">
        <v>16</v>
      </c>
      <c r="DM49">
        <v>71.7866666667</v>
      </c>
      <c r="DN49">
        <v>31</v>
      </c>
      <c r="DO49">
        <v>9</v>
      </c>
      <c r="DP49">
        <v>107.6129032258</v>
      </c>
      <c r="DQ49">
        <v>114.55555555559999</v>
      </c>
    </row>
    <row r="50" spans="2:121" x14ac:dyDescent="0.2">
      <c r="B50" t="s">
        <v>120</v>
      </c>
      <c r="C50">
        <v>4242</v>
      </c>
      <c r="D50">
        <v>928</v>
      </c>
      <c r="F50" t="s">
        <v>430</v>
      </c>
      <c r="G50">
        <v>33979</v>
      </c>
      <c r="H50">
        <v>558.88949056770002</v>
      </c>
      <c r="I50">
        <v>1449</v>
      </c>
      <c r="J50">
        <v>498</v>
      </c>
      <c r="K50">
        <v>34498</v>
      </c>
      <c r="L50">
        <v>32405</v>
      </c>
      <c r="M50">
        <v>1095</v>
      </c>
      <c r="N50">
        <v>624</v>
      </c>
      <c r="O50">
        <v>1382</v>
      </c>
      <c r="P50">
        <v>1252</v>
      </c>
      <c r="Q50">
        <v>0</v>
      </c>
      <c r="R50">
        <v>0</v>
      </c>
      <c r="AH50" t="s">
        <v>417</v>
      </c>
      <c r="AI50">
        <v>459</v>
      </c>
      <c r="AJ50">
        <v>374.1350762527</v>
      </c>
      <c r="AK50">
        <v>505</v>
      </c>
      <c r="AL50">
        <v>108</v>
      </c>
      <c r="AM50">
        <v>937</v>
      </c>
      <c r="AN50">
        <v>481</v>
      </c>
      <c r="AO50">
        <v>213</v>
      </c>
      <c r="AP50">
        <v>145</v>
      </c>
      <c r="AQ50">
        <v>117</v>
      </c>
      <c r="AR50">
        <v>84</v>
      </c>
      <c r="AS50">
        <v>83</v>
      </c>
      <c r="AT50">
        <v>1</v>
      </c>
      <c r="AV50" t="s">
        <v>406</v>
      </c>
      <c r="AW50">
        <v>62</v>
      </c>
      <c r="AX50">
        <v>38.193548387100002</v>
      </c>
      <c r="AY50">
        <v>180</v>
      </c>
      <c r="AZ50">
        <v>6</v>
      </c>
      <c r="BA50">
        <v>81</v>
      </c>
      <c r="BB50">
        <v>1</v>
      </c>
      <c r="BC50">
        <v>0</v>
      </c>
      <c r="BE50">
        <v>4</v>
      </c>
      <c r="BF50">
        <v>2</v>
      </c>
      <c r="BG50">
        <v>112</v>
      </c>
      <c r="BH50">
        <v>12</v>
      </c>
      <c r="BJ50" t="s">
        <v>641</v>
      </c>
      <c r="BK50" t="s">
        <v>404</v>
      </c>
      <c r="BL50">
        <v>1909</v>
      </c>
      <c r="BM50">
        <v>411</v>
      </c>
      <c r="BN50">
        <v>90.543740178099995</v>
      </c>
      <c r="BO50">
        <v>1801</v>
      </c>
      <c r="BP50">
        <v>509</v>
      </c>
      <c r="BQ50">
        <v>143.71960022210001</v>
      </c>
      <c r="BR50">
        <v>139.42632612969999</v>
      </c>
      <c r="BS50">
        <v>2108</v>
      </c>
      <c r="BT50">
        <v>279</v>
      </c>
      <c r="BU50">
        <v>74.871916508499993</v>
      </c>
      <c r="BV50">
        <v>1356</v>
      </c>
      <c r="BW50">
        <v>413</v>
      </c>
      <c r="BX50">
        <v>136.66814159290001</v>
      </c>
      <c r="BY50">
        <v>128.0605326877</v>
      </c>
      <c r="CA50" t="s">
        <v>424</v>
      </c>
      <c r="CB50" t="s">
        <v>890</v>
      </c>
      <c r="CC50" t="s">
        <v>1015</v>
      </c>
      <c r="CD50">
        <v>1281</v>
      </c>
      <c r="CE50">
        <v>320</v>
      </c>
      <c r="CF50">
        <v>90.1022638564</v>
      </c>
      <c r="CG50">
        <v>632</v>
      </c>
      <c r="CH50">
        <v>159</v>
      </c>
      <c r="CI50">
        <v>97.895569620299995</v>
      </c>
      <c r="CJ50">
        <v>117.7358490566</v>
      </c>
      <c r="CL50" t="s">
        <v>424</v>
      </c>
      <c r="CM50" t="s">
        <v>871</v>
      </c>
      <c r="CN50" t="s">
        <v>870</v>
      </c>
      <c r="CO50">
        <v>33</v>
      </c>
      <c r="CP50">
        <v>5</v>
      </c>
      <c r="CQ50">
        <v>69.363636363599994</v>
      </c>
      <c r="CR50">
        <v>32</v>
      </c>
      <c r="CS50">
        <v>7</v>
      </c>
      <c r="CT50">
        <v>73.21875</v>
      </c>
      <c r="CU50">
        <v>69.285714285699996</v>
      </c>
      <c r="CW50" t="s">
        <v>424</v>
      </c>
      <c r="CX50" t="s">
        <v>881</v>
      </c>
      <c r="CY50" t="s">
        <v>880</v>
      </c>
      <c r="CZ50">
        <v>24</v>
      </c>
      <c r="DA50">
        <v>3</v>
      </c>
      <c r="DB50">
        <v>70.375</v>
      </c>
      <c r="DC50">
        <v>7</v>
      </c>
      <c r="DD50">
        <v>1</v>
      </c>
      <c r="DE50">
        <v>113.1428571429</v>
      </c>
      <c r="DF50">
        <v>136</v>
      </c>
      <c r="DH50" t="s">
        <v>424</v>
      </c>
      <c r="DI50" t="s">
        <v>861</v>
      </c>
      <c r="DJ50" t="s">
        <v>860</v>
      </c>
      <c r="DK50">
        <v>35</v>
      </c>
      <c r="DL50">
        <v>4</v>
      </c>
      <c r="DM50">
        <v>81.8285714286</v>
      </c>
      <c r="DN50">
        <v>24</v>
      </c>
      <c r="DO50">
        <v>6</v>
      </c>
      <c r="DP50">
        <v>126.6666666667</v>
      </c>
      <c r="DQ50">
        <v>136.6666666667</v>
      </c>
    </row>
    <row r="51" spans="2:121" x14ac:dyDescent="0.2">
      <c r="B51" t="s">
        <v>104</v>
      </c>
      <c r="C51">
        <v>214118</v>
      </c>
      <c r="D51">
        <v>151895</v>
      </c>
      <c r="F51" t="s">
        <v>45</v>
      </c>
      <c r="G51">
        <v>3524</v>
      </c>
      <c r="H51">
        <v>269.44154370029997</v>
      </c>
      <c r="I51">
        <v>6915</v>
      </c>
      <c r="J51">
        <v>1718</v>
      </c>
      <c r="K51">
        <v>7492</v>
      </c>
      <c r="L51">
        <v>3754</v>
      </c>
      <c r="M51">
        <v>1696</v>
      </c>
      <c r="N51">
        <v>1017</v>
      </c>
      <c r="O51">
        <v>738</v>
      </c>
      <c r="P51">
        <v>415</v>
      </c>
      <c r="Q51">
        <v>2</v>
      </c>
      <c r="R51">
        <v>200</v>
      </c>
      <c r="AH51" t="s">
        <v>378</v>
      </c>
      <c r="AI51">
        <v>17416</v>
      </c>
      <c r="AJ51">
        <v>561.13958429030004</v>
      </c>
      <c r="AK51">
        <v>12871</v>
      </c>
      <c r="AL51">
        <v>2519</v>
      </c>
      <c r="AM51">
        <v>22000</v>
      </c>
      <c r="AN51">
        <v>15818</v>
      </c>
      <c r="AO51">
        <v>8798</v>
      </c>
      <c r="AP51">
        <v>6478</v>
      </c>
      <c r="AQ51">
        <v>6826</v>
      </c>
      <c r="AR51">
        <v>4878</v>
      </c>
      <c r="AS51">
        <v>915</v>
      </c>
      <c r="AT51">
        <v>21</v>
      </c>
      <c r="AV51" t="s">
        <v>373</v>
      </c>
      <c r="AW51">
        <v>194</v>
      </c>
      <c r="AX51">
        <v>103.9690721649</v>
      </c>
      <c r="AY51">
        <v>400</v>
      </c>
      <c r="AZ51">
        <v>94</v>
      </c>
      <c r="BA51">
        <v>272</v>
      </c>
      <c r="BB51">
        <v>98</v>
      </c>
      <c r="BC51">
        <v>4</v>
      </c>
      <c r="BD51">
        <v>4</v>
      </c>
      <c r="BE51">
        <v>22</v>
      </c>
      <c r="BF51">
        <v>5</v>
      </c>
      <c r="BG51">
        <v>29</v>
      </c>
      <c r="BH51">
        <v>73</v>
      </c>
      <c r="BJ51" t="s">
        <v>593</v>
      </c>
      <c r="BK51" t="s">
        <v>404</v>
      </c>
      <c r="BL51">
        <v>8627</v>
      </c>
      <c r="BM51">
        <v>1807</v>
      </c>
      <c r="BN51">
        <v>90.459719485299999</v>
      </c>
      <c r="BO51">
        <v>6888</v>
      </c>
      <c r="BP51">
        <v>1706</v>
      </c>
      <c r="BQ51">
        <v>140.84567363529999</v>
      </c>
      <c r="BR51">
        <v>135.3856975381</v>
      </c>
      <c r="BS51">
        <v>7447</v>
      </c>
      <c r="BT51">
        <v>1047</v>
      </c>
      <c r="BU51">
        <v>74.330334362800002</v>
      </c>
      <c r="BV51">
        <v>5443</v>
      </c>
      <c r="BW51">
        <v>1413</v>
      </c>
      <c r="BX51">
        <v>118.10141466100001</v>
      </c>
      <c r="BY51">
        <v>117.1988676575</v>
      </c>
      <c r="CA51" t="s">
        <v>426</v>
      </c>
      <c r="CB51" t="s">
        <v>890</v>
      </c>
      <c r="CC51" t="s">
        <v>1016</v>
      </c>
      <c r="CD51">
        <v>6375</v>
      </c>
      <c r="CE51">
        <v>1171</v>
      </c>
      <c r="CF51">
        <v>90.653803921600002</v>
      </c>
      <c r="CG51">
        <v>4353</v>
      </c>
      <c r="CH51">
        <v>1240</v>
      </c>
      <c r="CI51">
        <v>134.04939122440001</v>
      </c>
      <c r="CJ51">
        <v>133.11129032260001</v>
      </c>
      <c r="CL51" t="s">
        <v>426</v>
      </c>
      <c r="CM51" t="s">
        <v>871</v>
      </c>
      <c r="CN51" t="s">
        <v>872</v>
      </c>
      <c r="CO51">
        <v>480</v>
      </c>
      <c r="CP51">
        <v>37</v>
      </c>
      <c r="CQ51">
        <v>57.693750000000001</v>
      </c>
      <c r="CR51">
        <v>772</v>
      </c>
      <c r="CS51">
        <v>177</v>
      </c>
      <c r="CT51">
        <v>66.230569948199999</v>
      </c>
      <c r="CU51">
        <v>68.841807909600007</v>
      </c>
      <c r="CW51" t="s">
        <v>426</v>
      </c>
      <c r="CX51" t="s">
        <v>881</v>
      </c>
      <c r="CY51" t="s">
        <v>882</v>
      </c>
      <c r="CZ51">
        <v>190</v>
      </c>
      <c r="DA51">
        <v>35</v>
      </c>
      <c r="DB51">
        <v>82.126315789499998</v>
      </c>
      <c r="DC51">
        <v>113</v>
      </c>
      <c r="DD51">
        <v>37</v>
      </c>
      <c r="DE51">
        <v>134.5663716814</v>
      </c>
      <c r="DF51">
        <v>133.43243243239999</v>
      </c>
      <c r="DH51" t="s">
        <v>426</v>
      </c>
      <c r="DI51" t="s">
        <v>861</v>
      </c>
      <c r="DJ51" t="s">
        <v>862</v>
      </c>
      <c r="DK51">
        <v>131</v>
      </c>
      <c r="DL51">
        <v>25</v>
      </c>
      <c r="DM51">
        <v>85.267175572499994</v>
      </c>
      <c r="DN51">
        <v>85</v>
      </c>
      <c r="DO51">
        <v>26</v>
      </c>
      <c r="DP51">
        <v>128.91764705879999</v>
      </c>
      <c r="DQ51">
        <v>131.1538461538</v>
      </c>
    </row>
    <row r="52" spans="2:121" x14ac:dyDescent="0.2">
      <c r="B52" t="s">
        <v>128</v>
      </c>
      <c r="C52">
        <v>28192</v>
      </c>
      <c r="D52">
        <v>5073</v>
      </c>
      <c r="F52" t="s">
        <v>53</v>
      </c>
      <c r="G52">
        <v>2371</v>
      </c>
      <c r="H52">
        <v>154.5946857866</v>
      </c>
      <c r="I52">
        <v>2074</v>
      </c>
      <c r="J52">
        <v>234</v>
      </c>
      <c r="K52">
        <v>3898</v>
      </c>
      <c r="L52">
        <v>1433</v>
      </c>
      <c r="M52">
        <v>955</v>
      </c>
      <c r="N52">
        <v>573</v>
      </c>
      <c r="O52">
        <v>415</v>
      </c>
      <c r="P52">
        <v>197</v>
      </c>
      <c r="Q52">
        <v>2</v>
      </c>
      <c r="R52">
        <v>15</v>
      </c>
      <c r="AH52" t="s">
        <v>83</v>
      </c>
      <c r="AI52">
        <v>12494</v>
      </c>
      <c r="AJ52">
        <v>394.20801984949998</v>
      </c>
      <c r="AK52">
        <v>6369</v>
      </c>
      <c r="AL52">
        <v>1146</v>
      </c>
      <c r="AM52">
        <v>18797</v>
      </c>
      <c r="AN52">
        <v>13384</v>
      </c>
      <c r="AO52">
        <v>4937</v>
      </c>
      <c r="AP52">
        <v>3379</v>
      </c>
      <c r="AQ52">
        <v>5205</v>
      </c>
      <c r="AR52">
        <v>3924</v>
      </c>
      <c r="AS52">
        <v>13</v>
      </c>
      <c r="AT52">
        <v>140</v>
      </c>
      <c r="AV52" t="s">
        <v>424</v>
      </c>
      <c r="AW52">
        <v>10</v>
      </c>
      <c r="AX52">
        <v>155.80000000000001</v>
      </c>
      <c r="AY52">
        <v>19</v>
      </c>
      <c r="AZ52">
        <v>1</v>
      </c>
      <c r="BA52">
        <v>18</v>
      </c>
      <c r="BB52">
        <v>1</v>
      </c>
      <c r="BC52">
        <v>0</v>
      </c>
      <c r="BE52">
        <v>1</v>
      </c>
      <c r="BG52">
        <v>33</v>
      </c>
      <c r="BH52">
        <v>1</v>
      </c>
      <c r="BJ52" t="s">
        <v>615</v>
      </c>
      <c r="BK52" t="s">
        <v>404</v>
      </c>
      <c r="BL52">
        <v>768</v>
      </c>
      <c r="BM52">
        <v>179</v>
      </c>
      <c r="BN52">
        <v>97.592447916699996</v>
      </c>
      <c r="BO52">
        <v>648</v>
      </c>
      <c r="BP52">
        <v>167</v>
      </c>
      <c r="BQ52">
        <v>138.03858024690001</v>
      </c>
      <c r="BR52">
        <v>131.1377245509</v>
      </c>
      <c r="BS52">
        <v>1818</v>
      </c>
      <c r="BT52">
        <v>557</v>
      </c>
      <c r="BU52">
        <v>122.203520352</v>
      </c>
      <c r="BV52">
        <v>1338</v>
      </c>
      <c r="BW52">
        <v>353</v>
      </c>
      <c r="BX52">
        <v>190.1860986547</v>
      </c>
      <c r="BY52">
        <v>172.92351274789999</v>
      </c>
      <c r="CA52" t="s">
        <v>407</v>
      </c>
      <c r="CB52" t="s">
        <v>890</v>
      </c>
      <c r="CC52" t="s">
        <v>1017</v>
      </c>
      <c r="CD52">
        <v>28710</v>
      </c>
      <c r="CE52">
        <v>5520</v>
      </c>
      <c r="CF52">
        <v>88.399477533999999</v>
      </c>
      <c r="CG52">
        <v>20501</v>
      </c>
      <c r="CH52">
        <v>5102</v>
      </c>
      <c r="CI52">
        <v>140.81396029460001</v>
      </c>
      <c r="CJ52">
        <v>138.13132105060001</v>
      </c>
      <c r="CL52" t="s">
        <v>407</v>
      </c>
      <c r="CM52" t="s">
        <v>871</v>
      </c>
      <c r="CN52" t="s">
        <v>873</v>
      </c>
      <c r="CO52">
        <v>1997</v>
      </c>
      <c r="CP52">
        <v>137</v>
      </c>
      <c r="CQ52">
        <v>57.683024536799998</v>
      </c>
      <c r="CR52">
        <v>3302</v>
      </c>
      <c r="CS52">
        <v>769</v>
      </c>
      <c r="CT52">
        <v>63.2235009085</v>
      </c>
      <c r="CU52">
        <v>69.304291287400005</v>
      </c>
      <c r="CW52" t="s">
        <v>407</v>
      </c>
      <c r="CX52" t="s">
        <v>881</v>
      </c>
      <c r="CY52" t="s">
        <v>883</v>
      </c>
      <c r="CZ52">
        <v>1434</v>
      </c>
      <c r="DA52">
        <v>189</v>
      </c>
      <c r="DB52">
        <v>78.825662482599995</v>
      </c>
      <c r="DC52">
        <v>676</v>
      </c>
      <c r="DD52">
        <v>186</v>
      </c>
      <c r="DE52">
        <v>130.5902366864</v>
      </c>
      <c r="DF52">
        <v>141.0107526882</v>
      </c>
      <c r="DH52" t="s">
        <v>407</v>
      </c>
      <c r="DI52" t="s">
        <v>861</v>
      </c>
      <c r="DJ52" t="s">
        <v>863</v>
      </c>
      <c r="DK52">
        <v>802</v>
      </c>
      <c r="DL52">
        <v>106</v>
      </c>
      <c r="DM52">
        <v>79.881546134700002</v>
      </c>
      <c r="DN52">
        <v>409</v>
      </c>
      <c r="DO52">
        <v>111</v>
      </c>
      <c r="DP52">
        <v>120.6821515892</v>
      </c>
      <c r="DQ52">
        <v>126.4414414414</v>
      </c>
    </row>
    <row r="53" spans="2:121" x14ac:dyDescent="0.2">
      <c r="B53" t="s">
        <v>123</v>
      </c>
      <c r="C53">
        <v>519</v>
      </c>
      <c r="D53">
        <v>516</v>
      </c>
      <c r="F53" t="s">
        <v>51</v>
      </c>
      <c r="G53">
        <v>8314</v>
      </c>
      <c r="H53">
        <v>526.69244647580001</v>
      </c>
      <c r="I53">
        <v>4815</v>
      </c>
      <c r="J53">
        <v>859</v>
      </c>
      <c r="K53">
        <v>13037</v>
      </c>
      <c r="L53">
        <v>8438</v>
      </c>
      <c r="M53">
        <v>1932</v>
      </c>
      <c r="N53">
        <v>1289</v>
      </c>
      <c r="O53">
        <v>1630</v>
      </c>
      <c r="P53">
        <v>1347</v>
      </c>
      <c r="Q53">
        <v>1</v>
      </c>
      <c r="R53">
        <v>195</v>
      </c>
      <c r="AH53" t="s">
        <v>379</v>
      </c>
      <c r="AI53">
        <v>2223</v>
      </c>
      <c r="AJ53">
        <v>272.506522717</v>
      </c>
      <c r="AK53">
        <v>2487</v>
      </c>
      <c r="AL53">
        <v>399</v>
      </c>
      <c r="AM53">
        <v>3640</v>
      </c>
      <c r="AN53">
        <v>2197</v>
      </c>
      <c r="AO53">
        <v>463</v>
      </c>
      <c r="AP53">
        <v>219</v>
      </c>
      <c r="AQ53">
        <v>1295</v>
      </c>
      <c r="AR53">
        <v>933</v>
      </c>
      <c r="AS53">
        <v>347</v>
      </c>
      <c r="AT53">
        <v>14</v>
      </c>
      <c r="AV53" t="s">
        <v>392</v>
      </c>
      <c r="AW53">
        <v>198</v>
      </c>
      <c r="AX53">
        <v>64.914141414100001</v>
      </c>
      <c r="AY53">
        <v>613</v>
      </c>
      <c r="AZ53">
        <v>72</v>
      </c>
      <c r="BA53">
        <v>361</v>
      </c>
      <c r="BB53">
        <v>30</v>
      </c>
      <c r="BC53">
        <v>3</v>
      </c>
      <c r="BD53">
        <v>3</v>
      </c>
      <c r="BE53">
        <v>27</v>
      </c>
      <c r="BF53">
        <v>14</v>
      </c>
      <c r="BG53">
        <v>60</v>
      </c>
      <c r="BH53">
        <v>64</v>
      </c>
      <c r="BJ53" t="s">
        <v>591</v>
      </c>
      <c r="BK53" t="s">
        <v>404</v>
      </c>
      <c r="BL53">
        <v>11072</v>
      </c>
      <c r="BM53">
        <v>2374</v>
      </c>
      <c r="BN53">
        <v>94.299674855500001</v>
      </c>
      <c r="BO53">
        <v>6354</v>
      </c>
      <c r="BP53">
        <v>1450</v>
      </c>
      <c r="BQ53">
        <v>155.45262826570001</v>
      </c>
      <c r="BR53">
        <v>160.2496551724</v>
      </c>
      <c r="BS53">
        <v>8582</v>
      </c>
      <c r="BT53">
        <v>1467</v>
      </c>
      <c r="BU53">
        <v>83.198205546500006</v>
      </c>
      <c r="BV53">
        <v>3907</v>
      </c>
      <c r="BW53">
        <v>883</v>
      </c>
      <c r="BX53">
        <v>135.9976964423</v>
      </c>
      <c r="BY53">
        <v>146.5911664779</v>
      </c>
      <c r="CA53" t="s">
        <v>428</v>
      </c>
      <c r="CB53" t="s">
        <v>890</v>
      </c>
      <c r="CC53" t="s">
        <v>1018</v>
      </c>
      <c r="CD53">
        <v>1863</v>
      </c>
      <c r="CE53">
        <v>285</v>
      </c>
      <c r="CF53">
        <v>80.243156199699996</v>
      </c>
      <c r="CG53">
        <v>1681</v>
      </c>
      <c r="CH53">
        <v>469</v>
      </c>
      <c r="CI53">
        <v>123.4574657942</v>
      </c>
      <c r="CJ53">
        <v>123.9402985075</v>
      </c>
      <c r="CL53" t="s">
        <v>428</v>
      </c>
      <c r="CM53" t="s">
        <v>871</v>
      </c>
      <c r="CN53" t="s">
        <v>874</v>
      </c>
      <c r="CO53">
        <v>71</v>
      </c>
      <c r="CP53">
        <v>4</v>
      </c>
      <c r="CQ53">
        <v>59.507042253500003</v>
      </c>
      <c r="CR53">
        <v>104</v>
      </c>
      <c r="CS53">
        <v>24</v>
      </c>
      <c r="CT53">
        <v>64.173076923099998</v>
      </c>
      <c r="CU53">
        <v>59.333333333299997</v>
      </c>
      <c r="CW53" t="s">
        <v>428</v>
      </c>
      <c r="CX53" t="s">
        <v>881</v>
      </c>
      <c r="CY53" t="s">
        <v>884</v>
      </c>
      <c r="CZ53">
        <v>44</v>
      </c>
      <c r="DA53">
        <v>5</v>
      </c>
      <c r="DB53">
        <v>67</v>
      </c>
      <c r="DC53">
        <v>18</v>
      </c>
      <c r="DD53">
        <v>3</v>
      </c>
      <c r="DE53">
        <v>136.2777777778</v>
      </c>
      <c r="DF53">
        <v>146.6666666667</v>
      </c>
      <c r="DH53" t="s">
        <v>428</v>
      </c>
      <c r="DI53" t="s">
        <v>861</v>
      </c>
      <c r="DJ53" t="s">
        <v>864</v>
      </c>
      <c r="DK53">
        <v>103</v>
      </c>
      <c r="DL53">
        <v>11</v>
      </c>
      <c r="DM53">
        <v>67.368932038799997</v>
      </c>
      <c r="DN53">
        <v>33</v>
      </c>
      <c r="DO53">
        <v>10</v>
      </c>
      <c r="DP53">
        <v>107.6666666667</v>
      </c>
      <c r="DQ53">
        <v>103.6</v>
      </c>
    </row>
    <row r="54" spans="2:121" x14ac:dyDescent="0.2">
      <c r="F54" t="s">
        <v>56</v>
      </c>
      <c r="G54">
        <v>7745</v>
      </c>
      <c r="H54">
        <v>498.34551323429997</v>
      </c>
      <c r="I54">
        <v>4197</v>
      </c>
      <c r="J54">
        <v>1087</v>
      </c>
      <c r="K54">
        <v>12422</v>
      </c>
      <c r="L54">
        <v>8024</v>
      </c>
      <c r="M54">
        <v>3748</v>
      </c>
      <c r="N54">
        <v>3177</v>
      </c>
      <c r="O54">
        <v>828</v>
      </c>
      <c r="P54">
        <v>382</v>
      </c>
      <c r="Q54">
        <v>69</v>
      </c>
      <c r="R54">
        <v>244</v>
      </c>
      <c r="AH54" t="s">
        <v>396</v>
      </c>
      <c r="AI54">
        <v>4059</v>
      </c>
      <c r="AJ54">
        <v>285.84503572310001</v>
      </c>
      <c r="AK54">
        <v>3963</v>
      </c>
      <c r="AL54">
        <v>735</v>
      </c>
      <c r="AM54">
        <v>6250</v>
      </c>
      <c r="AN54">
        <v>3284</v>
      </c>
      <c r="AO54">
        <v>716</v>
      </c>
      <c r="AP54">
        <v>455</v>
      </c>
      <c r="AQ54">
        <v>905</v>
      </c>
      <c r="AR54">
        <v>464</v>
      </c>
      <c r="AS54">
        <v>385</v>
      </c>
      <c r="AT54">
        <v>6</v>
      </c>
      <c r="AV54" t="s">
        <v>401</v>
      </c>
      <c r="AW54">
        <v>123</v>
      </c>
      <c r="AX54">
        <v>39.219512195100002</v>
      </c>
      <c r="AY54">
        <v>334</v>
      </c>
      <c r="AZ54">
        <v>12</v>
      </c>
      <c r="BA54">
        <v>182</v>
      </c>
      <c r="BB54">
        <v>4</v>
      </c>
      <c r="BC54">
        <v>1</v>
      </c>
      <c r="BD54">
        <v>1</v>
      </c>
      <c r="BE54">
        <v>5</v>
      </c>
      <c r="BF54">
        <v>3</v>
      </c>
      <c r="BG54">
        <v>559</v>
      </c>
      <c r="BH54">
        <v>20</v>
      </c>
      <c r="BJ54" t="s">
        <v>404</v>
      </c>
      <c r="BK54" t="s">
        <v>404</v>
      </c>
      <c r="BL54">
        <v>58224</v>
      </c>
      <c r="BM54">
        <v>11403</v>
      </c>
      <c r="BN54">
        <v>89.2069249794</v>
      </c>
      <c r="BO54">
        <v>48559</v>
      </c>
      <c r="BP54">
        <v>12122</v>
      </c>
      <c r="BQ54">
        <v>123.3622603431</v>
      </c>
      <c r="BR54">
        <v>122.007754496</v>
      </c>
      <c r="BS54">
        <v>57025</v>
      </c>
      <c r="BT54">
        <v>10613</v>
      </c>
      <c r="BU54">
        <v>86.289487067099998</v>
      </c>
      <c r="BV54">
        <v>46654</v>
      </c>
      <c r="BW54">
        <v>11781</v>
      </c>
      <c r="BX54">
        <v>119.46229690920001</v>
      </c>
      <c r="BY54">
        <v>118.82412358880001</v>
      </c>
      <c r="CA54" t="s">
        <v>408</v>
      </c>
      <c r="CB54" t="s">
        <v>890</v>
      </c>
      <c r="CC54" t="s">
        <v>1019</v>
      </c>
      <c r="CD54">
        <v>1353</v>
      </c>
      <c r="CE54">
        <v>264</v>
      </c>
      <c r="CF54">
        <v>86.624538063599999</v>
      </c>
      <c r="CG54">
        <v>1314</v>
      </c>
      <c r="CH54">
        <v>314</v>
      </c>
      <c r="CI54">
        <v>115.7899543379</v>
      </c>
      <c r="CJ54">
        <v>110.70700636940001</v>
      </c>
      <c r="CL54" t="s">
        <v>408</v>
      </c>
      <c r="CM54" t="s">
        <v>871</v>
      </c>
      <c r="CN54" t="s">
        <v>875</v>
      </c>
      <c r="CO54">
        <v>134</v>
      </c>
      <c r="CP54">
        <v>6</v>
      </c>
      <c r="CQ54">
        <v>54.238805970100003</v>
      </c>
      <c r="CR54">
        <v>159</v>
      </c>
      <c r="CS54">
        <v>45</v>
      </c>
      <c r="CT54">
        <v>56.893081760999998</v>
      </c>
      <c r="CU54">
        <v>66.066666666700002</v>
      </c>
      <c r="CW54" t="s">
        <v>408</v>
      </c>
      <c r="CX54" t="s">
        <v>881</v>
      </c>
      <c r="CY54" t="s">
        <v>885</v>
      </c>
      <c r="CZ54">
        <v>40</v>
      </c>
      <c r="DA54">
        <v>3</v>
      </c>
      <c r="DB54">
        <v>78.775000000000006</v>
      </c>
      <c r="DC54">
        <v>18</v>
      </c>
      <c r="DD54">
        <v>6</v>
      </c>
      <c r="DE54">
        <v>132.1666666667</v>
      </c>
      <c r="DF54">
        <v>146.1666666667</v>
      </c>
      <c r="DH54" t="s">
        <v>408</v>
      </c>
      <c r="DI54" t="s">
        <v>861</v>
      </c>
      <c r="DJ54" t="s">
        <v>865</v>
      </c>
      <c r="DK54">
        <v>47</v>
      </c>
      <c r="DL54">
        <v>5</v>
      </c>
      <c r="DM54">
        <v>76.617021276599999</v>
      </c>
      <c r="DN54">
        <v>29</v>
      </c>
      <c r="DO54">
        <v>7</v>
      </c>
      <c r="DP54">
        <v>117.6206896552</v>
      </c>
      <c r="DQ54">
        <v>113.1428571429</v>
      </c>
    </row>
    <row r="55" spans="2:121" x14ac:dyDescent="0.2">
      <c r="F55" t="s">
        <v>75</v>
      </c>
      <c r="G55">
        <v>2587</v>
      </c>
      <c r="H55">
        <v>389.4797062234</v>
      </c>
      <c r="I55">
        <v>3466</v>
      </c>
      <c r="J55">
        <v>856</v>
      </c>
      <c r="K55">
        <v>3817</v>
      </c>
      <c r="L55">
        <v>3033</v>
      </c>
      <c r="M55">
        <v>870</v>
      </c>
      <c r="N55">
        <v>637</v>
      </c>
      <c r="O55">
        <v>930</v>
      </c>
      <c r="P55">
        <v>733</v>
      </c>
      <c r="Q55">
        <v>0</v>
      </c>
      <c r="R55">
        <v>2</v>
      </c>
      <c r="AH55" t="s">
        <v>421</v>
      </c>
      <c r="AI55">
        <v>536</v>
      </c>
      <c r="AJ55">
        <v>299.12873134329999</v>
      </c>
      <c r="AK55">
        <v>896</v>
      </c>
      <c r="AL55">
        <v>143</v>
      </c>
      <c r="AM55">
        <v>919</v>
      </c>
      <c r="AN55">
        <v>474</v>
      </c>
      <c r="AO55">
        <v>191</v>
      </c>
      <c r="AP55">
        <v>99</v>
      </c>
      <c r="AQ55">
        <v>196</v>
      </c>
      <c r="AR55">
        <v>81</v>
      </c>
      <c r="AS55">
        <v>2</v>
      </c>
      <c r="AT55">
        <v>3</v>
      </c>
      <c r="AV55" t="s">
        <v>379</v>
      </c>
      <c r="AW55">
        <v>245</v>
      </c>
      <c r="AX55">
        <v>106.2408163265</v>
      </c>
      <c r="AY55">
        <v>291</v>
      </c>
      <c r="AZ55">
        <v>47</v>
      </c>
      <c r="BA55">
        <v>315</v>
      </c>
      <c r="BB55">
        <v>126</v>
      </c>
      <c r="BC55">
        <v>7</v>
      </c>
      <c r="BD55">
        <v>7</v>
      </c>
      <c r="BE55">
        <v>18</v>
      </c>
      <c r="BF55">
        <v>9</v>
      </c>
      <c r="BG55">
        <v>42</v>
      </c>
      <c r="BH55">
        <v>71</v>
      </c>
      <c r="BJ55" t="s">
        <v>595</v>
      </c>
      <c r="BK55" t="s">
        <v>404</v>
      </c>
      <c r="BL55">
        <v>4677</v>
      </c>
      <c r="BM55">
        <v>976</v>
      </c>
      <c r="BN55">
        <v>95.264913406000005</v>
      </c>
      <c r="BO55">
        <v>3496</v>
      </c>
      <c r="BP55">
        <v>999</v>
      </c>
      <c r="BQ55">
        <v>136.80434782610001</v>
      </c>
      <c r="BR55">
        <v>136.79679679680001</v>
      </c>
      <c r="BS55">
        <v>6580</v>
      </c>
      <c r="BT55">
        <v>1635</v>
      </c>
      <c r="BU55">
        <v>100.7524316109</v>
      </c>
      <c r="BV55">
        <v>5137</v>
      </c>
      <c r="BW55">
        <v>1371</v>
      </c>
      <c r="BX55">
        <v>146.8275257933</v>
      </c>
      <c r="BY55">
        <v>143.58862144419999</v>
      </c>
      <c r="CA55" t="s">
        <v>413</v>
      </c>
      <c r="CB55" t="s">
        <v>890</v>
      </c>
      <c r="CC55" t="s">
        <v>1020</v>
      </c>
      <c r="CD55">
        <v>3457</v>
      </c>
      <c r="CE55">
        <v>763</v>
      </c>
      <c r="CF55">
        <v>95.230546716800006</v>
      </c>
      <c r="CG55">
        <v>2700</v>
      </c>
      <c r="CH55">
        <v>600</v>
      </c>
      <c r="CI55">
        <v>151.5788888889</v>
      </c>
      <c r="CJ55">
        <v>146.03</v>
      </c>
      <c r="CL55" t="s">
        <v>413</v>
      </c>
      <c r="CM55" t="s">
        <v>871</v>
      </c>
      <c r="CN55" t="s">
        <v>876</v>
      </c>
      <c r="CO55">
        <v>243</v>
      </c>
      <c r="CP55">
        <v>16</v>
      </c>
      <c r="CQ55">
        <v>57.592592592599999</v>
      </c>
      <c r="CR55">
        <v>343</v>
      </c>
      <c r="CS55">
        <v>91</v>
      </c>
      <c r="CT55">
        <v>59.349854227400002</v>
      </c>
      <c r="CU55">
        <v>62.043956043999998</v>
      </c>
      <c r="CW55" t="s">
        <v>413</v>
      </c>
      <c r="CX55" t="s">
        <v>881</v>
      </c>
      <c r="CY55" t="s">
        <v>886</v>
      </c>
      <c r="CZ55">
        <v>108</v>
      </c>
      <c r="DA55">
        <v>13</v>
      </c>
      <c r="DB55">
        <v>75.212962962999995</v>
      </c>
      <c r="DC55">
        <v>50</v>
      </c>
      <c r="DD55">
        <v>14</v>
      </c>
      <c r="DE55">
        <v>147.86000000000001</v>
      </c>
      <c r="DF55">
        <v>158.57142857139999</v>
      </c>
      <c r="DH55" t="s">
        <v>413</v>
      </c>
      <c r="DI55" t="s">
        <v>861</v>
      </c>
      <c r="DJ55" t="s">
        <v>866</v>
      </c>
      <c r="DK55">
        <v>107</v>
      </c>
      <c r="DL55">
        <v>9</v>
      </c>
      <c r="DM55">
        <v>69.859813084099997</v>
      </c>
      <c r="DN55">
        <v>54</v>
      </c>
      <c r="DO55">
        <v>12</v>
      </c>
      <c r="DP55">
        <v>135.1111111111</v>
      </c>
      <c r="DQ55">
        <v>161.1666666667</v>
      </c>
    </row>
    <row r="56" spans="2:121" x14ac:dyDescent="0.2">
      <c r="F56" t="s">
        <v>67</v>
      </c>
      <c r="G56">
        <v>4607</v>
      </c>
      <c r="H56">
        <v>260.23485999569999</v>
      </c>
      <c r="I56">
        <v>4137</v>
      </c>
      <c r="J56">
        <v>971</v>
      </c>
      <c r="K56">
        <v>5828</v>
      </c>
      <c r="L56">
        <v>3296</v>
      </c>
      <c r="M56">
        <v>1123</v>
      </c>
      <c r="N56">
        <v>313</v>
      </c>
      <c r="O56">
        <v>2264</v>
      </c>
      <c r="P56">
        <v>1980</v>
      </c>
      <c r="Q56">
        <v>1</v>
      </c>
      <c r="R56">
        <v>67</v>
      </c>
      <c r="BJ56" t="s">
        <v>603</v>
      </c>
      <c r="BK56" t="s">
        <v>404</v>
      </c>
      <c r="BL56">
        <v>4781</v>
      </c>
      <c r="BM56">
        <v>1171</v>
      </c>
      <c r="BN56">
        <v>99.404308721999996</v>
      </c>
      <c r="BO56">
        <v>3384</v>
      </c>
      <c r="BP56">
        <v>780</v>
      </c>
      <c r="BQ56">
        <v>143.00797872339999</v>
      </c>
      <c r="BR56">
        <v>139.5012820513</v>
      </c>
      <c r="BS56">
        <v>4768</v>
      </c>
      <c r="BT56">
        <v>1160</v>
      </c>
      <c r="BU56">
        <v>97.174077181200005</v>
      </c>
      <c r="BV56">
        <v>3496</v>
      </c>
      <c r="BW56">
        <v>766</v>
      </c>
      <c r="BX56">
        <v>136.90903890160001</v>
      </c>
      <c r="BY56">
        <v>132.408616188</v>
      </c>
      <c r="CA56" t="s">
        <v>405</v>
      </c>
      <c r="CB56" t="s">
        <v>890</v>
      </c>
      <c r="CC56" t="s">
        <v>1021</v>
      </c>
      <c r="CD56">
        <v>2617</v>
      </c>
      <c r="CE56">
        <v>586</v>
      </c>
      <c r="CF56">
        <v>98.870462361500003</v>
      </c>
      <c r="CG56">
        <v>1937</v>
      </c>
      <c r="CH56">
        <v>418</v>
      </c>
      <c r="CI56">
        <v>148.1590087765</v>
      </c>
      <c r="CJ56">
        <v>162.53827751200001</v>
      </c>
      <c r="CL56" t="s">
        <v>405</v>
      </c>
      <c r="CM56" t="s">
        <v>871</v>
      </c>
      <c r="CN56" t="s">
        <v>877</v>
      </c>
      <c r="CO56">
        <v>136</v>
      </c>
      <c r="CP56">
        <v>9</v>
      </c>
      <c r="CQ56">
        <v>56.389705882400001</v>
      </c>
      <c r="CR56">
        <v>263</v>
      </c>
      <c r="CS56">
        <v>59</v>
      </c>
      <c r="CT56">
        <v>60.950570342200002</v>
      </c>
      <c r="CU56">
        <v>57.406779661000002</v>
      </c>
      <c r="CW56" t="s">
        <v>405</v>
      </c>
      <c r="CX56" t="s">
        <v>881</v>
      </c>
      <c r="CY56" t="s">
        <v>887</v>
      </c>
      <c r="CZ56">
        <v>63</v>
      </c>
      <c r="DA56">
        <v>12</v>
      </c>
      <c r="DB56">
        <v>76.952380952400006</v>
      </c>
      <c r="DC56">
        <v>33</v>
      </c>
      <c r="DD56">
        <v>7</v>
      </c>
      <c r="DE56">
        <v>170.6666666667</v>
      </c>
      <c r="DF56">
        <v>189.1428571429</v>
      </c>
      <c r="DH56" t="s">
        <v>405</v>
      </c>
      <c r="DI56" t="s">
        <v>861</v>
      </c>
      <c r="DJ56" t="s">
        <v>867</v>
      </c>
      <c r="DK56">
        <v>78</v>
      </c>
      <c r="DL56">
        <v>14</v>
      </c>
      <c r="DM56">
        <v>80.551282051300007</v>
      </c>
      <c r="DN56">
        <v>27</v>
      </c>
      <c r="DO56">
        <v>8</v>
      </c>
      <c r="DP56">
        <v>139.7037037037</v>
      </c>
      <c r="DQ56">
        <v>125.625</v>
      </c>
    </row>
    <row r="57" spans="2:121" x14ac:dyDescent="0.2">
      <c r="F57" t="s">
        <v>65</v>
      </c>
      <c r="G57">
        <v>8516</v>
      </c>
      <c r="H57">
        <v>398.38832785350002</v>
      </c>
      <c r="I57">
        <v>11195</v>
      </c>
      <c r="J57">
        <v>2364</v>
      </c>
      <c r="K57">
        <v>11557</v>
      </c>
      <c r="L57">
        <v>8883</v>
      </c>
      <c r="M57">
        <v>4628</v>
      </c>
      <c r="N57">
        <v>3954</v>
      </c>
      <c r="O57">
        <v>2089</v>
      </c>
      <c r="P57">
        <v>1685</v>
      </c>
      <c r="Q57">
        <v>0</v>
      </c>
      <c r="R57">
        <v>29</v>
      </c>
      <c r="BJ57" t="s">
        <v>611</v>
      </c>
      <c r="BK57" t="s">
        <v>404</v>
      </c>
      <c r="BL57">
        <v>3280</v>
      </c>
      <c r="BM57">
        <v>692</v>
      </c>
      <c r="BN57">
        <v>95.017073170700002</v>
      </c>
      <c r="BO57">
        <v>2490</v>
      </c>
      <c r="BP57">
        <v>569</v>
      </c>
      <c r="BQ57">
        <v>155.56907630520001</v>
      </c>
      <c r="BR57">
        <v>148.15465729350001</v>
      </c>
      <c r="BS57">
        <v>2804</v>
      </c>
      <c r="BT57">
        <v>406</v>
      </c>
      <c r="BU57">
        <v>79.564550641899999</v>
      </c>
      <c r="BV57">
        <v>1860</v>
      </c>
      <c r="BW57">
        <v>441</v>
      </c>
      <c r="BX57">
        <v>130.6720430108</v>
      </c>
      <c r="BY57">
        <v>119.36961451249999</v>
      </c>
      <c r="CA57" t="s">
        <v>409</v>
      </c>
      <c r="CB57" t="s">
        <v>890</v>
      </c>
      <c r="CC57" t="s">
        <v>1022</v>
      </c>
      <c r="CD57">
        <v>4834</v>
      </c>
      <c r="CE57">
        <v>1172</v>
      </c>
      <c r="CF57">
        <v>99.080471659099999</v>
      </c>
      <c r="CG57">
        <v>3435</v>
      </c>
      <c r="CH57">
        <v>794</v>
      </c>
      <c r="CI57">
        <v>141.55866084429999</v>
      </c>
      <c r="CJ57">
        <v>140.2544080605</v>
      </c>
      <c r="CL57" t="s">
        <v>409</v>
      </c>
      <c r="CM57" t="s">
        <v>871</v>
      </c>
      <c r="CN57" t="s">
        <v>878</v>
      </c>
      <c r="CO57">
        <v>329</v>
      </c>
      <c r="CP57">
        <v>21</v>
      </c>
      <c r="CQ57">
        <v>59.9361702128</v>
      </c>
      <c r="CR57">
        <v>514</v>
      </c>
      <c r="CS57">
        <v>134</v>
      </c>
      <c r="CT57">
        <v>69.585603112800001</v>
      </c>
      <c r="CU57">
        <v>74.462686567199995</v>
      </c>
      <c r="CW57" t="s">
        <v>409</v>
      </c>
      <c r="CX57" t="s">
        <v>881</v>
      </c>
      <c r="CY57" t="s">
        <v>888</v>
      </c>
      <c r="CZ57">
        <v>107</v>
      </c>
      <c r="DA57">
        <v>20</v>
      </c>
      <c r="DB57">
        <v>91.065420560700005</v>
      </c>
      <c r="DC57">
        <v>51</v>
      </c>
      <c r="DD57">
        <v>13</v>
      </c>
      <c r="DE57">
        <v>123.1960784314</v>
      </c>
      <c r="DF57">
        <v>130.5384615385</v>
      </c>
      <c r="DH57" t="s">
        <v>409</v>
      </c>
      <c r="DI57" t="s">
        <v>861</v>
      </c>
      <c r="DJ57" t="s">
        <v>868</v>
      </c>
      <c r="DK57">
        <v>46</v>
      </c>
      <c r="DL57">
        <v>4</v>
      </c>
      <c r="DM57">
        <v>76.130434782600005</v>
      </c>
      <c r="DN57">
        <v>25</v>
      </c>
      <c r="DO57">
        <v>10</v>
      </c>
      <c r="DP57">
        <v>126.64</v>
      </c>
      <c r="DQ57">
        <v>145.5</v>
      </c>
    </row>
    <row r="58" spans="2:121" x14ac:dyDescent="0.2">
      <c r="F58" t="s">
        <v>57</v>
      </c>
      <c r="G58">
        <v>1538</v>
      </c>
      <c r="H58">
        <v>402.48894668399998</v>
      </c>
      <c r="I58">
        <v>1072</v>
      </c>
      <c r="J58">
        <v>226</v>
      </c>
      <c r="K58">
        <v>1986</v>
      </c>
      <c r="L58">
        <v>1366</v>
      </c>
      <c r="M58">
        <v>403</v>
      </c>
      <c r="N58">
        <v>399</v>
      </c>
      <c r="O58">
        <v>67</v>
      </c>
      <c r="P58">
        <v>54</v>
      </c>
      <c r="Q58">
        <v>0</v>
      </c>
      <c r="R58">
        <v>0</v>
      </c>
      <c r="BJ58" t="s">
        <v>624</v>
      </c>
      <c r="BK58" t="s">
        <v>404</v>
      </c>
      <c r="BL58">
        <v>10220</v>
      </c>
      <c r="BM58">
        <v>1483</v>
      </c>
      <c r="BN58">
        <v>79.697847358100006</v>
      </c>
      <c r="BO58">
        <v>7002</v>
      </c>
      <c r="BP58">
        <v>1880</v>
      </c>
      <c r="BQ58">
        <v>134.9868608969</v>
      </c>
      <c r="BR58">
        <v>132.35</v>
      </c>
      <c r="BS58">
        <v>10132</v>
      </c>
      <c r="BT58">
        <v>1690</v>
      </c>
      <c r="BU58">
        <v>84.449269640699995</v>
      </c>
      <c r="BV58">
        <v>7391</v>
      </c>
      <c r="BW58">
        <v>1941</v>
      </c>
      <c r="BX58">
        <v>145.3607089704</v>
      </c>
      <c r="BY58">
        <v>140.44049459039999</v>
      </c>
      <c r="CA58" t="s">
        <v>83</v>
      </c>
      <c r="CB58" t="s">
        <v>890</v>
      </c>
      <c r="CC58" t="s">
        <v>1023</v>
      </c>
      <c r="CD58">
        <v>5671</v>
      </c>
      <c r="CE58">
        <v>1052</v>
      </c>
      <c r="CF58">
        <v>87.298889084799995</v>
      </c>
      <c r="CG58">
        <v>6046</v>
      </c>
      <c r="CH58">
        <v>1583</v>
      </c>
      <c r="CI58">
        <v>115.7368508105</v>
      </c>
      <c r="CJ58">
        <v>113.7580543272</v>
      </c>
      <c r="CL58" t="s">
        <v>83</v>
      </c>
      <c r="CM58" t="s">
        <v>871</v>
      </c>
      <c r="CN58" t="s">
        <v>879</v>
      </c>
      <c r="CO58">
        <v>510</v>
      </c>
      <c r="CP58">
        <v>33</v>
      </c>
      <c r="CQ58">
        <v>62.388235294099999</v>
      </c>
      <c r="CR58">
        <v>802</v>
      </c>
      <c r="CS58">
        <v>214</v>
      </c>
      <c r="CT58">
        <v>65.516209476300006</v>
      </c>
      <c r="CU58">
        <v>67.275700934599996</v>
      </c>
      <c r="CW58" t="s">
        <v>83</v>
      </c>
      <c r="CX58" t="s">
        <v>881</v>
      </c>
      <c r="CY58" t="s">
        <v>889</v>
      </c>
      <c r="CZ58">
        <v>339</v>
      </c>
      <c r="DA58">
        <v>33</v>
      </c>
      <c r="DB58">
        <v>74.156342182900005</v>
      </c>
      <c r="DC58">
        <v>124</v>
      </c>
      <c r="DD58">
        <v>35</v>
      </c>
      <c r="DE58">
        <v>127.42741935479999</v>
      </c>
      <c r="DF58">
        <v>136.3714285714</v>
      </c>
      <c r="DH58" t="s">
        <v>83</v>
      </c>
      <c r="DI58" t="s">
        <v>861</v>
      </c>
      <c r="DJ58" t="s">
        <v>869</v>
      </c>
      <c r="DK58">
        <v>529</v>
      </c>
      <c r="DL58">
        <v>57</v>
      </c>
      <c r="DM58">
        <v>74.642722117199995</v>
      </c>
      <c r="DN58">
        <v>256</v>
      </c>
      <c r="DO58">
        <v>71</v>
      </c>
      <c r="DP58">
        <v>119.75390625</v>
      </c>
      <c r="DQ58">
        <v>130.7605633803</v>
      </c>
    </row>
    <row r="59" spans="2:121" x14ac:dyDescent="0.2">
      <c r="F59" t="s">
        <v>49</v>
      </c>
      <c r="G59">
        <v>12828</v>
      </c>
      <c r="H59">
        <v>346.60921421889998</v>
      </c>
      <c r="I59">
        <v>15468</v>
      </c>
      <c r="J59">
        <v>3940</v>
      </c>
      <c r="K59">
        <v>16488</v>
      </c>
      <c r="L59">
        <v>11647</v>
      </c>
      <c r="M59">
        <v>3158</v>
      </c>
      <c r="N59">
        <v>1787</v>
      </c>
      <c r="O59">
        <v>2898</v>
      </c>
      <c r="P59">
        <v>2303</v>
      </c>
      <c r="Q59">
        <v>1</v>
      </c>
      <c r="R59">
        <v>223</v>
      </c>
      <c r="BJ59" t="s">
        <v>597</v>
      </c>
      <c r="BK59" t="s">
        <v>404</v>
      </c>
      <c r="BL59">
        <v>7145</v>
      </c>
      <c r="BM59">
        <v>1126</v>
      </c>
      <c r="BN59">
        <v>77.150874737600006</v>
      </c>
      <c r="BO59">
        <v>12926</v>
      </c>
      <c r="BP59">
        <v>3234</v>
      </c>
      <c r="BQ59">
        <v>70.138480581799996</v>
      </c>
      <c r="BR59">
        <v>70.637291280100001</v>
      </c>
      <c r="BS59">
        <v>7666</v>
      </c>
      <c r="BT59">
        <v>1237</v>
      </c>
      <c r="BU59">
        <v>77.353378554700001</v>
      </c>
      <c r="BV59">
        <v>13262</v>
      </c>
      <c r="BW59">
        <v>3411</v>
      </c>
      <c r="BX59">
        <v>70.033479113300004</v>
      </c>
      <c r="BY59">
        <v>74.451480504299994</v>
      </c>
      <c r="CA59" t="s">
        <v>404</v>
      </c>
      <c r="CB59" t="s">
        <v>890</v>
      </c>
      <c r="CD59">
        <v>56161</v>
      </c>
      <c r="CE59">
        <v>11133</v>
      </c>
      <c r="CF59">
        <v>90.097523192300002</v>
      </c>
      <c r="CG59">
        <v>42599</v>
      </c>
      <c r="CH59">
        <v>10679</v>
      </c>
      <c r="CI59">
        <v>135.54637432800001</v>
      </c>
      <c r="CJ59">
        <v>133.75915347879999</v>
      </c>
      <c r="CL59" t="s">
        <v>404</v>
      </c>
      <c r="CM59" t="s">
        <v>871</v>
      </c>
      <c r="CO59">
        <v>3933</v>
      </c>
      <c r="CP59">
        <v>268</v>
      </c>
      <c r="CQ59">
        <v>58.446224256299999</v>
      </c>
      <c r="CR59">
        <v>6291</v>
      </c>
      <c r="CS59">
        <v>1520</v>
      </c>
      <c r="CT59">
        <v>64.004927674499996</v>
      </c>
      <c r="CU59">
        <v>68.269736842100002</v>
      </c>
      <c r="CW59" t="s">
        <v>404</v>
      </c>
      <c r="CX59" t="s">
        <v>881</v>
      </c>
      <c r="CZ59">
        <v>2349</v>
      </c>
      <c r="DA59">
        <v>313</v>
      </c>
      <c r="DB59">
        <v>78.451255853600003</v>
      </c>
      <c r="DC59">
        <v>1090</v>
      </c>
      <c r="DD59">
        <v>302</v>
      </c>
      <c r="DE59">
        <v>132.3100917431</v>
      </c>
      <c r="DF59">
        <v>141.1655629139</v>
      </c>
      <c r="DH59" t="s">
        <v>404</v>
      </c>
      <c r="DI59" t="s">
        <v>861</v>
      </c>
      <c r="DK59">
        <v>1878</v>
      </c>
      <c r="DL59">
        <v>235</v>
      </c>
      <c r="DM59">
        <v>77.414802981899996</v>
      </c>
      <c r="DN59">
        <v>942</v>
      </c>
      <c r="DO59">
        <v>261</v>
      </c>
      <c r="DP59">
        <v>122.30573248410001</v>
      </c>
      <c r="DQ59">
        <v>129.3908045977</v>
      </c>
    </row>
    <row r="60" spans="2:121" x14ac:dyDescent="0.2">
      <c r="F60" t="s">
        <v>138</v>
      </c>
      <c r="G60">
        <v>419</v>
      </c>
      <c r="H60">
        <v>370.31026252980001</v>
      </c>
      <c r="I60">
        <v>518</v>
      </c>
      <c r="J60">
        <v>114</v>
      </c>
      <c r="K60">
        <v>601</v>
      </c>
      <c r="L60">
        <v>416</v>
      </c>
      <c r="M60">
        <v>100</v>
      </c>
      <c r="N60">
        <v>67</v>
      </c>
      <c r="O60">
        <v>105</v>
      </c>
      <c r="P60">
        <v>89</v>
      </c>
      <c r="Q60">
        <v>0</v>
      </c>
      <c r="R60">
        <v>1</v>
      </c>
      <c r="BJ60" t="s">
        <v>539</v>
      </c>
      <c r="BK60" t="s">
        <v>380</v>
      </c>
      <c r="BL60">
        <v>16934</v>
      </c>
      <c r="BM60">
        <v>4113</v>
      </c>
      <c r="BN60">
        <v>96.535963151100006</v>
      </c>
      <c r="BO60">
        <v>10161</v>
      </c>
      <c r="BP60">
        <v>2702</v>
      </c>
      <c r="BQ60">
        <v>151.91073713220001</v>
      </c>
      <c r="BR60">
        <v>153.48223538120001</v>
      </c>
      <c r="BS60">
        <v>15100</v>
      </c>
      <c r="BT60">
        <v>2606</v>
      </c>
      <c r="BU60">
        <v>84.577218543000001</v>
      </c>
      <c r="BV60">
        <v>7484</v>
      </c>
      <c r="BW60">
        <v>1927</v>
      </c>
      <c r="BX60">
        <v>148.039818279</v>
      </c>
      <c r="BY60">
        <v>148.1665801764</v>
      </c>
      <c r="CA60" t="s">
        <v>388</v>
      </c>
      <c r="CB60" t="s">
        <v>915</v>
      </c>
      <c r="CC60" t="s">
        <v>1024</v>
      </c>
      <c r="CD60">
        <v>7364</v>
      </c>
      <c r="CE60">
        <v>1244</v>
      </c>
      <c r="CF60">
        <v>84.740086909300004</v>
      </c>
      <c r="CG60">
        <v>5622</v>
      </c>
      <c r="CH60">
        <v>1141</v>
      </c>
      <c r="CI60">
        <v>138.68036286020001</v>
      </c>
      <c r="CJ60">
        <v>147.52234881679999</v>
      </c>
      <c r="CL60" t="s">
        <v>388</v>
      </c>
      <c r="CM60" t="s">
        <v>900</v>
      </c>
      <c r="CN60" t="s">
        <v>899</v>
      </c>
      <c r="CO60">
        <v>764</v>
      </c>
      <c r="CP60">
        <v>65</v>
      </c>
      <c r="CQ60">
        <v>65.325916230399997</v>
      </c>
      <c r="CR60">
        <v>968</v>
      </c>
      <c r="CS60">
        <v>287</v>
      </c>
      <c r="CT60">
        <v>63.3037190083</v>
      </c>
      <c r="CU60">
        <v>69.313588850200006</v>
      </c>
      <c r="CW60" t="s">
        <v>388</v>
      </c>
      <c r="CX60" t="s">
        <v>908</v>
      </c>
      <c r="CY60" t="s">
        <v>907</v>
      </c>
      <c r="CZ60">
        <v>218</v>
      </c>
      <c r="DA60">
        <v>45</v>
      </c>
      <c r="DB60">
        <v>85.270642201800001</v>
      </c>
      <c r="DC60">
        <v>51</v>
      </c>
      <c r="DD60">
        <v>15</v>
      </c>
      <c r="DE60">
        <v>141.9607843137</v>
      </c>
      <c r="DF60">
        <v>153.26666666669999</v>
      </c>
      <c r="DH60" t="s">
        <v>388</v>
      </c>
      <c r="DI60" t="s">
        <v>892</v>
      </c>
      <c r="DJ60" t="s">
        <v>891</v>
      </c>
      <c r="DK60">
        <v>215</v>
      </c>
      <c r="DL60">
        <v>51</v>
      </c>
      <c r="DM60">
        <v>88.813953488400003</v>
      </c>
      <c r="DN60">
        <v>87</v>
      </c>
      <c r="DO60">
        <v>29</v>
      </c>
      <c r="DP60">
        <v>148.5057471264</v>
      </c>
      <c r="DQ60">
        <v>170.4137931034</v>
      </c>
    </row>
    <row r="61" spans="2:121" x14ac:dyDescent="0.2">
      <c r="F61" t="s">
        <v>59</v>
      </c>
      <c r="G61">
        <v>4232</v>
      </c>
      <c r="H61">
        <v>193.48180529300001</v>
      </c>
      <c r="I61">
        <v>6385</v>
      </c>
      <c r="J61">
        <v>1093</v>
      </c>
      <c r="K61">
        <v>5539</v>
      </c>
      <c r="L61">
        <v>2677</v>
      </c>
      <c r="M61">
        <v>718</v>
      </c>
      <c r="N61">
        <v>371</v>
      </c>
      <c r="O61">
        <v>517</v>
      </c>
      <c r="P61">
        <v>235</v>
      </c>
      <c r="Q61">
        <v>5666</v>
      </c>
      <c r="R61">
        <v>0</v>
      </c>
      <c r="BJ61" t="s">
        <v>547</v>
      </c>
      <c r="BK61" t="s">
        <v>380</v>
      </c>
      <c r="BL61">
        <v>8703</v>
      </c>
      <c r="BM61">
        <v>2294</v>
      </c>
      <c r="BN61">
        <v>100.4705274043</v>
      </c>
      <c r="BO61">
        <v>5824</v>
      </c>
      <c r="BP61">
        <v>1499</v>
      </c>
      <c r="BQ61">
        <v>134.95432692310001</v>
      </c>
      <c r="BR61">
        <v>134.0340226818</v>
      </c>
      <c r="BS61">
        <v>8776</v>
      </c>
      <c r="BT61">
        <v>2310</v>
      </c>
      <c r="BU61">
        <v>100.55674567</v>
      </c>
      <c r="BV61">
        <v>5862</v>
      </c>
      <c r="BW61">
        <v>1540</v>
      </c>
      <c r="BX61">
        <v>134.8311156602</v>
      </c>
      <c r="BY61">
        <v>134.87337662339999</v>
      </c>
      <c r="CA61" t="s">
        <v>425</v>
      </c>
      <c r="CB61" t="s">
        <v>915</v>
      </c>
      <c r="CC61" t="s">
        <v>1025</v>
      </c>
      <c r="CD61">
        <v>21950</v>
      </c>
      <c r="CE61">
        <v>5473</v>
      </c>
      <c r="CF61">
        <v>99.505284738</v>
      </c>
      <c r="CG61">
        <v>16721</v>
      </c>
      <c r="CH61">
        <v>4545</v>
      </c>
      <c r="CI61">
        <v>147.02302493869999</v>
      </c>
      <c r="CJ61">
        <v>142.40374037399999</v>
      </c>
      <c r="CL61" t="s">
        <v>425</v>
      </c>
      <c r="CM61" t="s">
        <v>900</v>
      </c>
      <c r="CN61" t="s">
        <v>901</v>
      </c>
      <c r="CO61">
        <v>2368</v>
      </c>
      <c r="CP61">
        <v>208</v>
      </c>
      <c r="CQ61">
        <v>64.055743243199998</v>
      </c>
      <c r="CR61">
        <v>2222</v>
      </c>
      <c r="CS61">
        <v>602</v>
      </c>
      <c r="CT61">
        <v>79.741224122399998</v>
      </c>
      <c r="CU61">
        <v>85.868770764100006</v>
      </c>
      <c r="CW61" t="s">
        <v>425</v>
      </c>
      <c r="CX61" t="s">
        <v>908</v>
      </c>
      <c r="CY61" t="s">
        <v>909</v>
      </c>
      <c r="CZ61">
        <v>863</v>
      </c>
      <c r="DA61">
        <v>196</v>
      </c>
      <c r="DB61">
        <v>88.517960602499997</v>
      </c>
      <c r="DC61">
        <v>311</v>
      </c>
      <c r="DD61">
        <v>90</v>
      </c>
      <c r="DE61">
        <v>148.09003215429999</v>
      </c>
      <c r="DF61">
        <v>147.87777777779999</v>
      </c>
      <c r="DH61" t="s">
        <v>425</v>
      </c>
      <c r="DI61" t="s">
        <v>892</v>
      </c>
      <c r="DJ61" t="s">
        <v>893</v>
      </c>
      <c r="DK61">
        <v>1063</v>
      </c>
      <c r="DL61">
        <v>272</v>
      </c>
      <c r="DM61">
        <v>90.340545625600001</v>
      </c>
      <c r="DN61">
        <v>441</v>
      </c>
      <c r="DO61">
        <v>117</v>
      </c>
      <c r="DP61">
        <v>136.48526077099999</v>
      </c>
      <c r="DQ61">
        <v>135.5384615385</v>
      </c>
    </row>
    <row r="62" spans="2:121" x14ac:dyDescent="0.2">
      <c r="BJ62" t="s">
        <v>563</v>
      </c>
      <c r="BK62" t="s">
        <v>380</v>
      </c>
      <c r="BL62">
        <v>4361</v>
      </c>
      <c r="BM62">
        <v>961</v>
      </c>
      <c r="BN62">
        <v>104.199954139</v>
      </c>
      <c r="BO62">
        <v>3780</v>
      </c>
      <c r="BP62">
        <v>973</v>
      </c>
      <c r="BQ62">
        <v>145.43227513229999</v>
      </c>
      <c r="BR62">
        <v>131.97019527239999</v>
      </c>
      <c r="BS62">
        <v>6540</v>
      </c>
      <c r="BT62">
        <v>2506</v>
      </c>
      <c r="BU62">
        <v>145.69908256880001</v>
      </c>
      <c r="BV62">
        <v>4618</v>
      </c>
      <c r="BW62">
        <v>1171</v>
      </c>
      <c r="BX62">
        <v>163.3886964054</v>
      </c>
      <c r="BY62">
        <v>151.39538855679999</v>
      </c>
      <c r="CA62" t="s">
        <v>381</v>
      </c>
      <c r="CB62" t="s">
        <v>915</v>
      </c>
      <c r="CC62" t="s">
        <v>1026</v>
      </c>
      <c r="CD62">
        <v>17761</v>
      </c>
      <c r="CE62">
        <v>4170</v>
      </c>
      <c r="CF62">
        <v>94.402229604200002</v>
      </c>
      <c r="CG62">
        <v>11157</v>
      </c>
      <c r="CH62">
        <v>2936</v>
      </c>
      <c r="CI62">
        <v>142.5672671865</v>
      </c>
      <c r="CJ62">
        <v>144.0177111717</v>
      </c>
      <c r="CL62" t="s">
        <v>381</v>
      </c>
      <c r="CM62" t="s">
        <v>900</v>
      </c>
      <c r="CN62" t="s">
        <v>902</v>
      </c>
      <c r="CO62">
        <v>1173</v>
      </c>
      <c r="CP62">
        <v>102</v>
      </c>
      <c r="CQ62">
        <v>64.617220801399995</v>
      </c>
      <c r="CR62">
        <v>1142</v>
      </c>
      <c r="CS62">
        <v>305</v>
      </c>
      <c r="CT62">
        <v>86.628721541199994</v>
      </c>
      <c r="CU62">
        <v>94.472131147499994</v>
      </c>
      <c r="CW62" t="s">
        <v>381</v>
      </c>
      <c r="CX62" t="s">
        <v>908</v>
      </c>
      <c r="CY62" t="s">
        <v>910</v>
      </c>
      <c r="CZ62">
        <v>493</v>
      </c>
      <c r="DA62">
        <v>113</v>
      </c>
      <c r="DB62">
        <v>87.369168357000007</v>
      </c>
      <c r="DC62">
        <v>190</v>
      </c>
      <c r="DD62">
        <v>51</v>
      </c>
      <c r="DE62">
        <v>153.77368421049999</v>
      </c>
      <c r="DF62">
        <v>157.5882352941</v>
      </c>
      <c r="DH62" t="s">
        <v>381</v>
      </c>
      <c r="DI62" t="s">
        <v>892</v>
      </c>
      <c r="DJ62" t="s">
        <v>894</v>
      </c>
      <c r="DK62">
        <v>552</v>
      </c>
      <c r="DL62">
        <v>132</v>
      </c>
      <c r="DM62">
        <v>90.099637681199994</v>
      </c>
      <c r="DN62">
        <v>233</v>
      </c>
      <c r="DO62">
        <v>71</v>
      </c>
      <c r="DP62">
        <v>141.72961373390001</v>
      </c>
      <c r="DQ62">
        <v>148.63380281689999</v>
      </c>
    </row>
    <row r="63" spans="2:121" x14ac:dyDescent="0.2">
      <c r="BJ63" t="s">
        <v>553</v>
      </c>
      <c r="BK63" t="s">
        <v>380</v>
      </c>
      <c r="BL63">
        <v>7319</v>
      </c>
      <c r="BM63">
        <v>1207</v>
      </c>
      <c r="BN63">
        <v>82.537778384999996</v>
      </c>
      <c r="BO63">
        <v>5350</v>
      </c>
      <c r="BP63">
        <v>1068</v>
      </c>
      <c r="BQ63">
        <v>141.91943925230001</v>
      </c>
      <c r="BR63">
        <v>158.61610486890001</v>
      </c>
      <c r="BS63">
        <v>6920</v>
      </c>
      <c r="BT63">
        <v>984</v>
      </c>
      <c r="BU63">
        <v>76.711849710999999</v>
      </c>
      <c r="BV63">
        <v>4817</v>
      </c>
      <c r="BW63">
        <v>920</v>
      </c>
      <c r="BX63">
        <v>141.97301224829999</v>
      </c>
      <c r="BY63">
        <v>166.32065217389999</v>
      </c>
      <c r="CA63" t="s">
        <v>393</v>
      </c>
      <c r="CB63" t="s">
        <v>915</v>
      </c>
      <c r="CC63" t="s">
        <v>1027</v>
      </c>
      <c r="CD63">
        <v>4049</v>
      </c>
      <c r="CE63">
        <v>732</v>
      </c>
      <c r="CF63">
        <v>91.8323042727</v>
      </c>
      <c r="CG63">
        <v>3763</v>
      </c>
      <c r="CH63">
        <v>956</v>
      </c>
      <c r="CI63">
        <v>129.7624235982</v>
      </c>
      <c r="CJ63">
        <v>119.2437238494</v>
      </c>
      <c r="CL63" t="s">
        <v>393</v>
      </c>
      <c r="CM63" t="s">
        <v>900</v>
      </c>
      <c r="CN63" t="s">
        <v>903</v>
      </c>
      <c r="CO63">
        <v>417</v>
      </c>
      <c r="CP63">
        <v>44</v>
      </c>
      <c r="CQ63">
        <v>71.155875299800002</v>
      </c>
      <c r="CR63">
        <v>513</v>
      </c>
      <c r="CS63">
        <v>128</v>
      </c>
      <c r="CT63">
        <v>72.284600389900007</v>
      </c>
      <c r="CU63">
        <v>81.6328125</v>
      </c>
      <c r="CW63" t="s">
        <v>393</v>
      </c>
      <c r="CX63" t="s">
        <v>908</v>
      </c>
      <c r="CY63" t="s">
        <v>911</v>
      </c>
      <c r="CZ63">
        <v>118</v>
      </c>
      <c r="DA63">
        <v>25</v>
      </c>
      <c r="DB63">
        <v>82.864406779700005</v>
      </c>
      <c r="DC63">
        <v>41</v>
      </c>
      <c r="DD63">
        <v>11</v>
      </c>
      <c r="DE63">
        <v>141.60975609760001</v>
      </c>
      <c r="DF63">
        <v>139</v>
      </c>
      <c r="DH63" t="s">
        <v>393</v>
      </c>
      <c r="DI63" t="s">
        <v>892</v>
      </c>
      <c r="DJ63" t="s">
        <v>895</v>
      </c>
      <c r="DK63">
        <v>188</v>
      </c>
      <c r="DL63">
        <v>35</v>
      </c>
      <c r="DM63">
        <v>80.164893617000004</v>
      </c>
      <c r="DN63">
        <v>55</v>
      </c>
      <c r="DO63">
        <v>18</v>
      </c>
      <c r="DP63">
        <v>135.16363636360001</v>
      </c>
      <c r="DQ63">
        <v>131.3333333333</v>
      </c>
    </row>
    <row r="64" spans="2:121" x14ac:dyDescent="0.2">
      <c r="BJ64" t="s">
        <v>549</v>
      </c>
      <c r="BK64" t="s">
        <v>380</v>
      </c>
      <c r="BL64">
        <v>9414</v>
      </c>
      <c r="BM64">
        <v>1694</v>
      </c>
      <c r="BN64">
        <v>84.561079243699993</v>
      </c>
      <c r="BO64">
        <v>6548</v>
      </c>
      <c r="BP64">
        <v>1767</v>
      </c>
      <c r="BQ64">
        <v>133.95143555280001</v>
      </c>
      <c r="BR64">
        <v>131.06960950760001</v>
      </c>
      <c r="BS64">
        <v>9569</v>
      </c>
      <c r="BT64">
        <v>1839</v>
      </c>
      <c r="BU64">
        <v>87.818789842200005</v>
      </c>
      <c r="BV64">
        <v>7110</v>
      </c>
      <c r="BW64">
        <v>1856</v>
      </c>
      <c r="BX64">
        <v>141.85879043599999</v>
      </c>
      <c r="BY64">
        <v>135.396012931</v>
      </c>
      <c r="CA64" t="s">
        <v>427</v>
      </c>
      <c r="CB64" t="s">
        <v>915</v>
      </c>
      <c r="CC64" t="s">
        <v>1028</v>
      </c>
      <c r="CD64">
        <v>3491</v>
      </c>
      <c r="CE64">
        <v>876</v>
      </c>
      <c r="CF64">
        <v>100.57003723859999</v>
      </c>
      <c r="CG64">
        <v>1654</v>
      </c>
      <c r="CH64">
        <v>409</v>
      </c>
      <c r="CI64">
        <v>161.62575574370001</v>
      </c>
      <c r="CJ64">
        <v>183.44009779949999</v>
      </c>
      <c r="CL64" t="s">
        <v>427</v>
      </c>
      <c r="CM64" t="s">
        <v>900</v>
      </c>
      <c r="CN64" t="s">
        <v>904</v>
      </c>
      <c r="CO64">
        <v>441</v>
      </c>
      <c r="CP64">
        <v>40</v>
      </c>
      <c r="CQ64">
        <v>65.460317460300004</v>
      </c>
      <c r="CR64">
        <v>414</v>
      </c>
      <c r="CS64">
        <v>97</v>
      </c>
      <c r="CT64">
        <v>87.157004830899993</v>
      </c>
      <c r="CU64">
        <v>87.237113402099993</v>
      </c>
      <c r="CW64" t="s">
        <v>427</v>
      </c>
      <c r="CX64" t="s">
        <v>908</v>
      </c>
      <c r="CY64" t="s">
        <v>912</v>
      </c>
      <c r="CZ64">
        <v>12</v>
      </c>
      <c r="DA64">
        <v>2</v>
      </c>
      <c r="DB64">
        <v>73.166666666699996</v>
      </c>
      <c r="DC64">
        <v>3</v>
      </c>
      <c r="DD64">
        <v>1</v>
      </c>
      <c r="DE64">
        <v>148</v>
      </c>
      <c r="DF64">
        <v>140</v>
      </c>
      <c r="DH64" t="s">
        <v>427</v>
      </c>
      <c r="DI64" t="s">
        <v>892</v>
      </c>
      <c r="DJ64" t="s">
        <v>896</v>
      </c>
      <c r="DK64">
        <v>18</v>
      </c>
      <c r="DL64">
        <v>4</v>
      </c>
      <c r="DM64">
        <v>79.5</v>
      </c>
      <c r="DN64">
        <v>7</v>
      </c>
      <c r="DO64">
        <v>1</v>
      </c>
      <c r="DP64">
        <v>97.571428571400006</v>
      </c>
      <c r="DQ64">
        <v>2</v>
      </c>
    </row>
    <row r="65" spans="62:121" x14ac:dyDescent="0.2">
      <c r="BJ65" t="s">
        <v>613</v>
      </c>
      <c r="BK65" t="s">
        <v>380</v>
      </c>
      <c r="BL65">
        <v>3535</v>
      </c>
      <c r="BM65">
        <v>909</v>
      </c>
      <c r="BN65">
        <v>101.48288543140001</v>
      </c>
      <c r="BO65">
        <v>1605</v>
      </c>
      <c r="BP65">
        <v>394</v>
      </c>
      <c r="BQ65">
        <v>164.1470404984</v>
      </c>
      <c r="BR65">
        <v>188.39086294419999</v>
      </c>
      <c r="BS65">
        <v>3481</v>
      </c>
      <c r="BT65">
        <v>891</v>
      </c>
      <c r="BU65">
        <v>105.9666762425</v>
      </c>
      <c r="BV65">
        <v>1744</v>
      </c>
      <c r="BW65">
        <v>412</v>
      </c>
      <c r="BX65">
        <v>183.746559633</v>
      </c>
      <c r="BY65">
        <v>209.13592233009999</v>
      </c>
      <c r="CA65" t="s">
        <v>383</v>
      </c>
      <c r="CB65" t="s">
        <v>915</v>
      </c>
      <c r="CC65" t="s">
        <v>1029</v>
      </c>
      <c r="CD65">
        <v>9080</v>
      </c>
      <c r="CE65">
        <v>2392</v>
      </c>
      <c r="CF65">
        <v>100.0987885463</v>
      </c>
      <c r="CG65">
        <v>6301</v>
      </c>
      <c r="CH65">
        <v>1610</v>
      </c>
      <c r="CI65">
        <v>132.61815584830001</v>
      </c>
      <c r="CJ65">
        <v>130.5590062112</v>
      </c>
      <c r="CL65" t="s">
        <v>383</v>
      </c>
      <c r="CM65" t="s">
        <v>900</v>
      </c>
      <c r="CN65" t="s">
        <v>905</v>
      </c>
      <c r="CO65">
        <v>690</v>
      </c>
      <c r="CP65">
        <v>64</v>
      </c>
      <c r="CQ65">
        <v>65.479710144899997</v>
      </c>
      <c r="CR65">
        <v>722</v>
      </c>
      <c r="CS65">
        <v>189</v>
      </c>
      <c r="CT65">
        <v>82.295013850399997</v>
      </c>
      <c r="CU65">
        <v>83.359788359800007</v>
      </c>
      <c r="CW65" t="s">
        <v>383</v>
      </c>
      <c r="CX65" t="s">
        <v>908</v>
      </c>
      <c r="CY65" t="s">
        <v>913</v>
      </c>
      <c r="CZ65">
        <v>277</v>
      </c>
      <c r="DA65">
        <v>75</v>
      </c>
      <c r="DB65">
        <v>95.935018050500005</v>
      </c>
      <c r="DC65">
        <v>103</v>
      </c>
      <c r="DD65">
        <v>33</v>
      </c>
      <c r="DE65">
        <v>150.10679611649999</v>
      </c>
      <c r="DF65">
        <v>150.1818181818</v>
      </c>
      <c r="DH65" t="s">
        <v>383</v>
      </c>
      <c r="DI65" t="s">
        <v>892</v>
      </c>
      <c r="DJ65" t="s">
        <v>897</v>
      </c>
      <c r="DK65">
        <v>302</v>
      </c>
      <c r="DL65">
        <v>69</v>
      </c>
      <c r="DM65">
        <v>89.798013245000007</v>
      </c>
      <c r="DN65">
        <v>102</v>
      </c>
      <c r="DO65">
        <v>25</v>
      </c>
      <c r="DP65">
        <v>132.5588235294</v>
      </c>
      <c r="DQ65">
        <v>141.56</v>
      </c>
    </row>
    <row r="66" spans="62:121" x14ac:dyDescent="0.2">
      <c r="BJ66" t="s">
        <v>380</v>
      </c>
      <c r="BK66" t="s">
        <v>380</v>
      </c>
      <c r="BL66">
        <v>71169</v>
      </c>
      <c r="BM66">
        <v>16451</v>
      </c>
      <c r="BN66">
        <v>95.584875437299999</v>
      </c>
      <c r="BO66">
        <v>48537</v>
      </c>
      <c r="BP66">
        <v>12620</v>
      </c>
      <c r="BQ66">
        <v>146.01248532049999</v>
      </c>
      <c r="BR66">
        <v>145.48256735339999</v>
      </c>
      <c r="BS66">
        <v>69695</v>
      </c>
      <c r="BT66">
        <v>14873</v>
      </c>
      <c r="BU66">
        <v>94.103350312100005</v>
      </c>
      <c r="BV66">
        <v>44995</v>
      </c>
      <c r="BW66">
        <v>11540</v>
      </c>
      <c r="BX66">
        <v>144.68329814419999</v>
      </c>
      <c r="BY66">
        <v>142.75086655109999</v>
      </c>
      <c r="CA66" t="s">
        <v>384</v>
      </c>
      <c r="CB66" t="s">
        <v>915</v>
      </c>
      <c r="CC66" t="s">
        <v>1030</v>
      </c>
      <c r="CD66">
        <v>9329</v>
      </c>
      <c r="CE66">
        <v>1733</v>
      </c>
      <c r="CF66">
        <v>85.661378497200005</v>
      </c>
      <c r="CG66">
        <v>6762</v>
      </c>
      <c r="CH66">
        <v>1842</v>
      </c>
      <c r="CI66">
        <v>130.15705412599999</v>
      </c>
      <c r="CJ66">
        <v>127.6623235613</v>
      </c>
      <c r="CL66" t="s">
        <v>384</v>
      </c>
      <c r="CM66" t="s">
        <v>900</v>
      </c>
      <c r="CN66" t="s">
        <v>906</v>
      </c>
      <c r="CO66">
        <v>723</v>
      </c>
      <c r="CP66">
        <v>78</v>
      </c>
      <c r="CQ66">
        <v>69.031811894900002</v>
      </c>
      <c r="CR66">
        <v>886</v>
      </c>
      <c r="CS66">
        <v>228</v>
      </c>
      <c r="CT66">
        <v>63.0677200903</v>
      </c>
      <c r="CU66">
        <v>73.364035087700003</v>
      </c>
      <c r="CW66" t="s">
        <v>384</v>
      </c>
      <c r="CX66" t="s">
        <v>908</v>
      </c>
      <c r="CY66" t="s">
        <v>914</v>
      </c>
      <c r="CZ66">
        <v>273</v>
      </c>
      <c r="DA66">
        <v>59</v>
      </c>
      <c r="DB66">
        <v>84.054945054900003</v>
      </c>
      <c r="DC66">
        <v>84</v>
      </c>
      <c r="DD66">
        <v>22</v>
      </c>
      <c r="DE66">
        <v>145.79761904759999</v>
      </c>
      <c r="DF66">
        <v>162.86363636359999</v>
      </c>
      <c r="DH66" t="s">
        <v>384</v>
      </c>
      <c r="DI66" t="s">
        <v>892</v>
      </c>
      <c r="DJ66" t="s">
        <v>898</v>
      </c>
      <c r="DK66">
        <v>459</v>
      </c>
      <c r="DL66">
        <v>95</v>
      </c>
      <c r="DM66">
        <v>85.056644880199997</v>
      </c>
      <c r="DN66">
        <v>189</v>
      </c>
      <c r="DO66">
        <v>60</v>
      </c>
      <c r="DP66">
        <v>141.49206349209999</v>
      </c>
      <c r="DQ66">
        <v>140.05000000000001</v>
      </c>
    </row>
    <row r="67" spans="62:121" x14ac:dyDescent="0.2">
      <c r="BJ67" t="s">
        <v>541</v>
      </c>
      <c r="BK67" t="s">
        <v>380</v>
      </c>
      <c r="BL67">
        <v>20903</v>
      </c>
      <c r="BM67">
        <v>5273</v>
      </c>
      <c r="BN67">
        <v>99.518490168900001</v>
      </c>
      <c r="BO67">
        <v>15269</v>
      </c>
      <c r="BP67">
        <v>4217</v>
      </c>
      <c r="BQ67">
        <v>151.1491256795</v>
      </c>
      <c r="BR67">
        <v>146.24828076829999</v>
      </c>
      <c r="BS67">
        <v>19309</v>
      </c>
      <c r="BT67">
        <v>3737</v>
      </c>
      <c r="BU67">
        <v>88.352840644300002</v>
      </c>
      <c r="BV67">
        <v>13360</v>
      </c>
      <c r="BW67">
        <v>3714</v>
      </c>
      <c r="BX67">
        <v>138.04131736529999</v>
      </c>
      <c r="BY67">
        <v>130.95449649970001</v>
      </c>
      <c r="CA67" t="s">
        <v>380</v>
      </c>
      <c r="CB67" t="s">
        <v>915</v>
      </c>
      <c r="CD67">
        <v>73024</v>
      </c>
      <c r="CE67">
        <v>16620</v>
      </c>
      <c r="CF67">
        <v>94.705795355000006</v>
      </c>
      <c r="CG67">
        <v>51980</v>
      </c>
      <c r="CH67">
        <v>13439</v>
      </c>
      <c r="CI67">
        <v>140.43920738750001</v>
      </c>
      <c r="CJ67">
        <v>139.3527792246</v>
      </c>
      <c r="CL67" t="s">
        <v>380</v>
      </c>
      <c r="CM67" t="s">
        <v>900</v>
      </c>
      <c r="CO67">
        <v>6576</v>
      </c>
      <c r="CP67">
        <v>601</v>
      </c>
      <c r="CQ67">
        <v>65.544403892899993</v>
      </c>
      <c r="CR67">
        <v>6867</v>
      </c>
      <c r="CS67">
        <v>1836</v>
      </c>
      <c r="CT67">
        <v>76.576816659399995</v>
      </c>
      <c r="CU67">
        <v>82.675925925900003</v>
      </c>
      <c r="CW67" t="s">
        <v>380</v>
      </c>
      <c r="CX67" t="s">
        <v>908</v>
      </c>
      <c r="CZ67">
        <v>2254</v>
      </c>
      <c r="DA67">
        <v>515</v>
      </c>
      <c r="DB67">
        <v>87.945874001799993</v>
      </c>
      <c r="DC67">
        <v>783</v>
      </c>
      <c r="DD67">
        <v>223</v>
      </c>
      <c r="DE67">
        <v>148.74968071519999</v>
      </c>
      <c r="DF67">
        <v>151.8071748879</v>
      </c>
      <c r="DH67" t="s">
        <v>380</v>
      </c>
      <c r="DI67" t="s">
        <v>892</v>
      </c>
      <c r="DK67">
        <v>2797</v>
      </c>
      <c r="DL67">
        <v>658</v>
      </c>
      <c r="DM67">
        <v>88.496245977800001</v>
      </c>
      <c r="DN67">
        <v>1114</v>
      </c>
      <c r="DO67">
        <v>321</v>
      </c>
      <c r="DP67">
        <v>138.70107719929999</v>
      </c>
      <c r="DQ67">
        <v>142.246105919</v>
      </c>
    </row>
    <row r="68" spans="62:121" x14ac:dyDescent="0.2">
      <c r="BJ68" t="s">
        <v>307</v>
      </c>
      <c r="BK68" t="s">
        <v>695</v>
      </c>
      <c r="BL68">
        <v>9630</v>
      </c>
      <c r="BM68">
        <v>1632</v>
      </c>
      <c r="BN68">
        <v>81.811111111100004</v>
      </c>
      <c r="BO68">
        <v>3968</v>
      </c>
      <c r="BP68">
        <v>1107</v>
      </c>
      <c r="BQ68">
        <v>128.8860887097</v>
      </c>
      <c r="BR68">
        <v>135.85546522129999</v>
      </c>
      <c r="BS68">
        <v>1300</v>
      </c>
      <c r="BT68">
        <v>844</v>
      </c>
      <c r="BU68">
        <v>121.0330769231</v>
      </c>
      <c r="BV68">
        <v>358</v>
      </c>
      <c r="BW68">
        <v>121</v>
      </c>
      <c r="BX68">
        <v>96.706703910599998</v>
      </c>
      <c r="BY68">
        <v>112.8512396694</v>
      </c>
      <c r="CA68" t="s">
        <v>698</v>
      </c>
      <c r="CD68">
        <v>364497</v>
      </c>
      <c r="CE68">
        <v>73730</v>
      </c>
      <c r="CF68">
        <v>89.797416713999993</v>
      </c>
      <c r="CG68">
        <v>273315</v>
      </c>
      <c r="CH68">
        <v>69676</v>
      </c>
      <c r="CI68">
        <v>128.173064047</v>
      </c>
      <c r="CJ68">
        <v>128.14261725700001</v>
      </c>
      <c r="CL68" t="s">
        <v>698</v>
      </c>
      <c r="CO68">
        <v>364497</v>
      </c>
      <c r="CP68">
        <v>73730</v>
      </c>
      <c r="CQ68">
        <v>89.797416713999993</v>
      </c>
      <c r="CR68">
        <v>273315</v>
      </c>
      <c r="CS68">
        <v>69676</v>
      </c>
      <c r="CT68">
        <v>128.173064047</v>
      </c>
      <c r="CU68">
        <v>128.14261725700001</v>
      </c>
      <c r="CW68" t="s">
        <v>698</v>
      </c>
      <c r="CZ68">
        <v>364497</v>
      </c>
      <c r="DA68">
        <v>73730</v>
      </c>
      <c r="DB68">
        <v>89.797416713999993</v>
      </c>
      <c r="DC68">
        <v>273315</v>
      </c>
      <c r="DD68">
        <v>69676</v>
      </c>
      <c r="DE68">
        <v>128.173064047</v>
      </c>
      <c r="DF68">
        <v>128.14261725700001</v>
      </c>
      <c r="DH68" t="s">
        <v>698</v>
      </c>
      <c r="DK68">
        <v>364497</v>
      </c>
      <c r="DL68">
        <v>73730</v>
      </c>
      <c r="DM68">
        <v>89.797416713999993</v>
      </c>
      <c r="DN68">
        <v>273315</v>
      </c>
      <c r="DO68">
        <v>69676</v>
      </c>
      <c r="DP68">
        <v>128.173064047</v>
      </c>
      <c r="DQ68">
        <v>128.14261725700001</v>
      </c>
    </row>
    <row r="69" spans="62:121" x14ac:dyDescent="0.2">
      <c r="BJ69" t="s">
        <v>214</v>
      </c>
      <c r="BK69" t="s">
        <v>695</v>
      </c>
      <c r="BL69">
        <v>68</v>
      </c>
      <c r="BM69">
        <v>6</v>
      </c>
      <c r="BN69">
        <v>83.911764705899998</v>
      </c>
      <c r="BO69">
        <v>38</v>
      </c>
      <c r="BP69">
        <v>9</v>
      </c>
      <c r="BQ69">
        <v>149.86842105260001</v>
      </c>
      <c r="BR69">
        <v>142</v>
      </c>
      <c r="BS69">
        <v>4494</v>
      </c>
      <c r="BT69">
        <v>458</v>
      </c>
      <c r="BU69">
        <v>74.125945705399999</v>
      </c>
      <c r="BV69">
        <v>2218</v>
      </c>
      <c r="BW69">
        <v>602</v>
      </c>
      <c r="BX69">
        <v>119.4995491434</v>
      </c>
      <c r="BY69">
        <v>126.1279069767</v>
      </c>
    </row>
    <row r="70" spans="62:121" x14ac:dyDescent="0.2">
      <c r="BJ70" t="s">
        <v>695</v>
      </c>
      <c r="BK70" t="s">
        <v>695</v>
      </c>
      <c r="BL70">
        <v>11590</v>
      </c>
      <c r="BM70">
        <v>2098</v>
      </c>
      <c r="BN70">
        <v>83.029508196699993</v>
      </c>
      <c r="BO70">
        <v>4944</v>
      </c>
      <c r="BP70">
        <v>1363</v>
      </c>
      <c r="BQ70">
        <v>131.4965614887</v>
      </c>
      <c r="BR70">
        <v>137.05722670579999</v>
      </c>
      <c r="BS70">
        <v>11590</v>
      </c>
      <c r="BT70">
        <v>2098</v>
      </c>
      <c r="BU70">
        <v>83.029508196699993</v>
      </c>
      <c r="BV70">
        <v>4944</v>
      </c>
      <c r="BW70">
        <v>1363</v>
      </c>
      <c r="BX70">
        <v>131.4965614887</v>
      </c>
      <c r="BY70">
        <v>137.05722670579999</v>
      </c>
    </row>
    <row r="71" spans="62:121" x14ac:dyDescent="0.2">
      <c r="BJ71" t="s">
        <v>216</v>
      </c>
      <c r="BK71" t="s">
        <v>695</v>
      </c>
      <c r="BL71">
        <v>1892</v>
      </c>
      <c r="BM71">
        <v>460</v>
      </c>
      <c r="BN71">
        <v>89.199260042299997</v>
      </c>
      <c r="BO71">
        <v>938</v>
      </c>
      <c r="BP71">
        <v>247</v>
      </c>
      <c r="BQ71">
        <v>141.7953091684</v>
      </c>
      <c r="BR71">
        <v>142.26315789469999</v>
      </c>
      <c r="BS71">
        <v>5796</v>
      </c>
      <c r="BT71">
        <v>796</v>
      </c>
      <c r="BU71">
        <v>81.409075224299997</v>
      </c>
      <c r="BV71">
        <v>2368</v>
      </c>
      <c r="BW71">
        <v>640</v>
      </c>
      <c r="BX71">
        <v>147.9932432432</v>
      </c>
      <c r="BY71">
        <v>151.9140625</v>
      </c>
    </row>
    <row r="72" spans="62:121" x14ac:dyDescent="0.2">
      <c r="BJ72" t="s">
        <v>212</v>
      </c>
      <c r="BK72" t="s">
        <v>696</v>
      </c>
      <c r="BL72">
        <v>6878</v>
      </c>
      <c r="BM72">
        <v>593</v>
      </c>
      <c r="BN72">
        <v>64.770863623099999</v>
      </c>
      <c r="BO72">
        <v>8694</v>
      </c>
      <c r="BP72">
        <v>2392</v>
      </c>
      <c r="BQ72">
        <v>68.060961582700003</v>
      </c>
      <c r="BR72">
        <v>74.124163879600005</v>
      </c>
      <c r="BS72">
        <v>6890</v>
      </c>
      <c r="BT72">
        <v>591</v>
      </c>
      <c r="BU72">
        <v>64.585341073999999</v>
      </c>
      <c r="BV72">
        <v>8724</v>
      </c>
      <c r="BW72">
        <v>2395</v>
      </c>
      <c r="BX72">
        <v>68.239683631399998</v>
      </c>
      <c r="BY72">
        <v>74.124008350699995</v>
      </c>
    </row>
    <row r="73" spans="62:121" x14ac:dyDescent="0.2">
      <c r="BJ73" t="s">
        <v>227</v>
      </c>
      <c r="BK73" t="s">
        <v>696</v>
      </c>
      <c r="BL73">
        <v>622</v>
      </c>
      <c r="BM73">
        <v>281</v>
      </c>
      <c r="BN73">
        <v>168.46784565920001</v>
      </c>
      <c r="BO73">
        <v>1134</v>
      </c>
      <c r="BP73">
        <v>262</v>
      </c>
      <c r="BQ73">
        <v>51.735449735400003</v>
      </c>
      <c r="BR73">
        <v>54.7557251908</v>
      </c>
      <c r="BS73">
        <v>548</v>
      </c>
      <c r="BT73">
        <v>276</v>
      </c>
      <c r="BU73">
        <v>184.401459854</v>
      </c>
      <c r="BV73">
        <v>966</v>
      </c>
      <c r="BW73">
        <v>232</v>
      </c>
      <c r="BX73">
        <v>39.622153209099999</v>
      </c>
      <c r="BY73">
        <v>47.784482758599999</v>
      </c>
    </row>
    <row r="74" spans="62:121" x14ac:dyDescent="0.2">
      <c r="BJ74" t="s">
        <v>213</v>
      </c>
      <c r="BK74" t="s">
        <v>696</v>
      </c>
      <c r="BL74">
        <v>11522</v>
      </c>
      <c r="BM74">
        <v>954</v>
      </c>
      <c r="BN74">
        <v>62.957733032500002</v>
      </c>
      <c r="BO74">
        <v>9963</v>
      </c>
      <c r="BP74">
        <v>2696</v>
      </c>
      <c r="BQ74">
        <v>82.7457593094</v>
      </c>
      <c r="BR74">
        <v>86.040801186899998</v>
      </c>
      <c r="BS74">
        <v>11566</v>
      </c>
      <c r="BT74">
        <v>968</v>
      </c>
      <c r="BU74">
        <v>63.138941725700001</v>
      </c>
      <c r="BV74">
        <v>10029</v>
      </c>
      <c r="BW74">
        <v>2711</v>
      </c>
      <c r="BX74">
        <v>83.277395552900003</v>
      </c>
      <c r="BY74">
        <v>86.517521209899996</v>
      </c>
    </row>
    <row r="75" spans="62:121" x14ac:dyDescent="0.2">
      <c r="BJ75" t="s">
        <v>215</v>
      </c>
      <c r="BK75" t="s">
        <v>696</v>
      </c>
      <c r="BL75">
        <v>7547</v>
      </c>
      <c r="BM75">
        <v>485</v>
      </c>
      <c r="BN75">
        <v>56.172253875700001</v>
      </c>
      <c r="BO75">
        <v>11952</v>
      </c>
      <c r="BP75">
        <v>2841</v>
      </c>
      <c r="BQ75">
        <v>65.242637215499997</v>
      </c>
      <c r="BR75">
        <v>68.300598380899999</v>
      </c>
      <c r="BS75">
        <v>7565</v>
      </c>
      <c r="BT75">
        <v>478</v>
      </c>
      <c r="BU75">
        <v>55.955320555199997</v>
      </c>
      <c r="BV75">
        <v>12024</v>
      </c>
      <c r="BW75">
        <v>2853</v>
      </c>
      <c r="BX75">
        <v>65.350881570200002</v>
      </c>
      <c r="BY75">
        <v>68.172800560799999</v>
      </c>
    </row>
    <row r="76" spans="62:121" x14ac:dyDescent="0.2">
      <c r="BJ76" t="s">
        <v>696</v>
      </c>
      <c r="BK76" t="s">
        <v>696</v>
      </c>
      <c r="BL76">
        <v>26569</v>
      </c>
      <c r="BM76">
        <v>2313</v>
      </c>
      <c r="BN76">
        <v>63.969739169699999</v>
      </c>
      <c r="BO76">
        <v>31743</v>
      </c>
      <c r="BP76">
        <v>8191</v>
      </c>
      <c r="BQ76">
        <v>71.025611945899996</v>
      </c>
      <c r="BR76">
        <v>75.407032108400003</v>
      </c>
      <c r="BS76">
        <v>26569</v>
      </c>
      <c r="BT76">
        <v>2313</v>
      </c>
      <c r="BU76">
        <v>63.969739169699999</v>
      </c>
      <c r="BV76">
        <v>31743</v>
      </c>
      <c r="BW76">
        <v>8191</v>
      </c>
      <c r="BX76">
        <v>71.025611945899996</v>
      </c>
      <c r="BY76">
        <v>75.407032108400003</v>
      </c>
    </row>
    <row r="77" spans="62:121" x14ac:dyDescent="0.2">
      <c r="BJ77" t="s">
        <v>306</v>
      </c>
      <c r="BK77" t="s">
        <v>697</v>
      </c>
      <c r="BL77">
        <v>7036</v>
      </c>
      <c r="BM77">
        <v>1242</v>
      </c>
      <c r="BN77">
        <v>81.416287663399999</v>
      </c>
      <c r="BO77">
        <v>2480</v>
      </c>
      <c r="BP77">
        <v>739</v>
      </c>
      <c r="BQ77">
        <v>141.1709677419</v>
      </c>
      <c r="BR77">
        <v>147.51691474969999</v>
      </c>
      <c r="BS77">
        <v>382</v>
      </c>
      <c r="BT77">
        <v>46</v>
      </c>
      <c r="BU77">
        <v>55.240837696299998</v>
      </c>
      <c r="BV77">
        <v>120</v>
      </c>
      <c r="BW77">
        <v>39</v>
      </c>
      <c r="BX77">
        <v>123.05</v>
      </c>
      <c r="BY77">
        <v>134.89743589739999</v>
      </c>
    </row>
    <row r="78" spans="62:121" x14ac:dyDescent="0.2">
      <c r="BJ78" t="s">
        <v>956</v>
      </c>
      <c r="BK78" t="s">
        <v>697</v>
      </c>
      <c r="BL78">
        <v>1735</v>
      </c>
      <c r="BM78">
        <v>205</v>
      </c>
      <c r="BN78">
        <v>80.148126801199993</v>
      </c>
      <c r="BO78">
        <v>974</v>
      </c>
      <c r="BP78">
        <v>265</v>
      </c>
      <c r="BQ78">
        <v>121.8470225873</v>
      </c>
      <c r="BR78">
        <v>131.60377358490001</v>
      </c>
      <c r="BS78">
        <v>4680</v>
      </c>
      <c r="BT78">
        <v>471</v>
      </c>
      <c r="BU78">
        <v>75.892521367499995</v>
      </c>
      <c r="BV78">
        <v>2132</v>
      </c>
      <c r="BW78">
        <v>608</v>
      </c>
      <c r="BX78">
        <v>124.228424015</v>
      </c>
      <c r="BY78">
        <v>133.96217105260001</v>
      </c>
    </row>
    <row r="79" spans="62:121" x14ac:dyDescent="0.2">
      <c r="BJ79" t="s">
        <v>697</v>
      </c>
      <c r="BK79" t="s">
        <v>697</v>
      </c>
      <c r="BL79">
        <v>10569</v>
      </c>
      <c r="BM79">
        <v>1829</v>
      </c>
      <c r="BN79">
        <v>81.9196707352</v>
      </c>
      <c r="BO79">
        <v>4209</v>
      </c>
      <c r="BP79">
        <v>1203</v>
      </c>
      <c r="BQ79">
        <v>138.48372535039999</v>
      </c>
      <c r="BR79">
        <v>145.33416458849999</v>
      </c>
      <c r="BS79">
        <v>10569</v>
      </c>
      <c r="BT79">
        <v>1829</v>
      </c>
      <c r="BU79">
        <v>81.9196707352</v>
      </c>
      <c r="BV79">
        <v>4209</v>
      </c>
      <c r="BW79">
        <v>1203</v>
      </c>
      <c r="BX79">
        <v>138.48372535039999</v>
      </c>
      <c r="BY79">
        <v>145.33416458849999</v>
      </c>
    </row>
    <row r="80" spans="62:121" x14ac:dyDescent="0.2">
      <c r="BJ80" t="s">
        <v>957</v>
      </c>
      <c r="BK80" t="s">
        <v>697</v>
      </c>
      <c r="BL80">
        <v>1798</v>
      </c>
      <c r="BM80">
        <v>382</v>
      </c>
      <c r="BN80">
        <v>85.598998887700006</v>
      </c>
      <c r="BO80">
        <v>755</v>
      </c>
      <c r="BP80">
        <v>199</v>
      </c>
      <c r="BQ80">
        <v>151.119205298</v>
      </c>
      <c r="BR80">
        <v>155.51256281409999</v>
      </c>
      <c r="BS80">
        <v>5507</v>
      </c>
      <c r="BT80">
        <v>1312</v>
      </c>
      <c r="BU80">
        <v>88.892318866899998</v>
      </c>
      <c r="BV80">
        <v>1957</v>
      </c>
      <c r="BW80">
        <v>556</v>
      </c>
      <c r="BX80">
        <v>154.9601430761</v>
      </c>
      <c r="BY80">
        <v>158.50179856119999</v>
      </c>
    </row>
    <row r="81" spans="62:77" x14ac:dyDescent="0.2">
      <c r="BJ81" t="s">
        <v>698</v>
      </c>
      <c r="BL81">
        <v>364497</v>
      </c>
      <c r="BM81">
        <v>73730</v>
      </c>
      <c r="BN81" s="153">
        <v>89.797416713999993</v>
      </c>
      <c r="BO81">
        <v>273315</v>
      </c>
      <c r="BP81">
        <v>69676</v>
      </c>
      <c r="BQ81">
        <v>128.173064047</v>
      </c>
      <c r="BR81">
        <v>128.14261725700001</v>
      </c>
      <c r="BS81">
        <v>364497</v>
      </c>
      <c r="BT81">
        <v>73730</v>
      </c>
      <c r="BU81">
        <v>89.797416713999993</v>
      </c>
      <c r="BV81">
        <v>273315</v>
      </c>
      <c r="BW81">
        <v>69676</v>
      </c>
      <c r="BX81">
        <v>128.173064047</v>
      </c>
      <c r="BY81">
        <v>128.14261725700001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364497</CP_Inventory>
    <Fiscal_Year xmlns="c9744be7-b815-40bc-84fa-afc9c406d9bc">2016</Fiscal_Year>
    <CP_Backlog xmlns="c9744be7-b815-40bc-84fa-afc9c406d9bc">73730</CP_Backlog>
    <Creation_date xmlns="c9744be7-b815-40bc-84fa-afc9c406d9bc">2015-12-21T00:00:00-05:00</Creation_date>
    <Data_date xmlns="c9744be7-b815-40bc-84fa-afc9c406d9bc">2015-12-19T00:00:00-05:00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2006/metadata/properties"/>
    <ds:schemaRef ds:uri="fef9c9dc-374b-4157-9e06-089f148416e5"/>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c9744be7-b815-40bc-84fa-afc9c406d9bc"/>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21,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2015-12-21T14:57:27Z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